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Документы\VIII- 2025-жыл\III-IV-V сессия\"/>
    </mc:Choice>
  </mc:AlternateContent>
  <bookViews>
    <workbookView xWindow="0" yWindow="0" windowWidth="15360" windowHeight="7650" tabRatio="672" activeTab="2"/>
  </bookViews>
  <sheets>
    <sheet name="расходы кенешке" sheetId="12" r:id="rId1"/>
    <sheet name="остаток 01.01.2025.г." sheetId="14" r:id="rId2"/>
    <sheet name="Лист1" sheetId="18" r:id="rId3"/>
  </sheets>
  <definedNames>
    <definedName name="_xlnm.Print_Area" localSheetId="1">'остаток 01.01.2025.г.'!$A$1:$Q$89</definedName>
  </definedNames>
  <calcPr calcId="162913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30" i="18" l="1"/>
  <c r="T31" i="18" s="1"/>
  <c r="S30" i="18"/>
  <c r="P30" i="18"/>
  <c r="P31" i="18" s="1"/>
  <c r="O30" i="18"/>
  <c r="L30" i="18"/>
  <c r="L31" i="18" s="1"/>
  <c r="K30" i="18"/>
  <c r="H30" i="18"/>
  <c r="H31" i="18" s="1"/>
  <c r="G30" i="18"/>
  <c r="Q29" i="18"/>
  <c r="M29" i="18"/>
  <c r="I29" i="18"/>
  <c r="E29" i="18"/>
  <c r="D29" i="18" s="1"/>
  <c r="R26" i="18"/>
  <c r="Q26" i="18" s="1"/>
  <c r="N26" i="18"/>
  <c r="M26" i="18" s="1"/>
  <c r="J26" i="18"/>
  <c r="I26" i="18" s="1"/>
  <c r="F26" i="18"/>
  <c r="E26" i="18" s="1"/>
  <c r="D26" i="18" s="1"/>
  <c r="R25" i="18"/>
  <c r="Q25" i="18"/>
  <c r="N25" i="18"/>
  <c r="M25" i="18"/>
  <c r="J25" i="18"/>
  <c r="I25" i="18"/>
  <c r="F25" i="18"/>
  <c r="E25" i="18"/>
  <c r="D25" i="18" s="1"/>
  <c r="R24" i="18"/>
  <c r="Q24" i="18" s="1"/>
  <c r="N24" i="18"/>
  <c r="M24" i="18" s="1"/>
  <c r="J24" i="18"/>
  <c r="I24" i="18" s="1"/>
  <c r="F24" i="18"/>
  <c r="E24" i="18" s="1"/>
  <c r="D24" i="18" s="1"/>
  <c r="Q23" i="18"/>
  <c r="M23" i="18"/>
  <c r="I23" i="18"/>
  <c r="E23" i="18"/>
  <c r="D23" i="18" s="1"/>
  <c r="Q22" i="18"/>
  <c r="M22" i="18"/>
  <c r="I22" i="18"/>
  <c r="E22" i="18"/>
  <c r="D22" i="18"/>
  <c r="T21" i="18"/>
  <c r="S21" i="18"/>
  <c r="S31" i="18" s="1"/>
  <c r="R21" i="18"/>
  <c r="Q21" i="18"/>
  <c r="P21" i="18"/>
  <c r="O21" i="18"/>
  <c r="O31" i="18" s="1"/>
  <c r="N21" i="18"/>
  <c r="M21" i="18"/>
  <c r="L21" i="18"/>
  <c r="K21" i="18"/>
  <c r="K31" i="18" s="1"/>
  <c r="J21" i="18"/>
  <c r="I21" i="18"/>
  <c r="H21" i="18"/>
  <c r="G21" i="18"/>
  <c r="G31" i="18" s="1"/>
  <c r="F21" i="18"/>
  <c r="E21" i="18"/>
  <c r="D21" i="18" s="1"/>
  <c r="Q20" i="18"/>
  <c r="M20" i="18"/>
  <c r="I20" i="18"/>
  <c r="F20" i="18"/>
  <c r="E20" i="18"/>
  <c r="D20" i="18" s="1"/>
  <c r="R19" i="18"/>
  <c r="Q19" i="18" s="1"/>
  <c r="N19" i="18"/>
  <c r="M19" i="18" s="1"/>
  <c r="J19" i="18"/>
  <c r="I19" i="18" s="1"/>
  <c r="E19" i="18"/>
  <c r="D19" i="18" s="1"/>
  <c r="Q18" i="18"/>
  <c r="M18" i="18"/>
  <c r="I18" i="18"/>
  <c r="F18" i="18"/>
  <c r="E18" i="18"/>
  <c r="D18" i="18" s="1"/>
  <c r="R17" i="18"/>
  <c r="Q17" i="18" s="1"/>
  <c r="N17" i="18"/>
  <c r="M17" i="18" s="1"/>
  <c r="I17" i="18"/>
  <c r="F17" i="18"/>
  <c r="E17" i="18"/>
  <c r="D17" i="18" s="1"/>
  <c r="Q16" i="18"/>
  <c r="N16" i="18"/>
  <c r="M16" i="18"/>
  <c r="J16" i="18"/>
  <c r="I16" i="18"/>
  <c r="F16" i="18"/>
  <c r="E16" i="18"/>
  <c r="D16" i="18" s="1"/>
  <c r="R15" i="18"/>
  <c r="Q15" i="18" s="1"/>
  <c r="M15" i="18"/>
  <c r="I15" i="18"/>
  <c r="E15" i="18"/>
  <c r="Q14" i="18"/>
  <c r="M14" i="18"/>
  <c r="J14" i="18"/>
  <c r="I14" i="18" s="1"/>
  <c r="F14" i="18"/>
  <c r="E14" i="18" s="1"/>
  <c r="Q13" i="18"/>
  <c r="N13" i="18"/>
  <c r="M13" i="18" s="1"/>
  <c r="D13" i="18" s="1"/>
  <c r="I13" i="18"/>
  <c r="E13" i="18"/>
  <c r="Q12" i="18"/>
  <c r="M12" i="18"/>
  <c r="J12" i="18"/>
  <c r="I12" i="18"/>
  <c r="E12" i="18"/>
  <c r="D12" i="18"/>
  <c r="R11" i="18"/>
  <c r="Q11" i="18"/>
  <c r="M11" i="18"/>
  <c r="J11" i="18"/>
  <c r="I11" i="18" s="1"/>
  <c r="E11" i="18"/>
  <c r="D11" i="18" s="1"/>
  <c r="Q10" i="18"/>
  <c r="M10" i="18"/>
  <c r="I10" i="18"/>
  <c r="F10" i="18"/>
  <c r="E10" i="18"/>
  <c r="D10" i="18" s="1"/>
  <c r="Q9" i="18"/>
  <c r="M9" i="18"/>
  <c r="J9" i="18"/>
  <c r="I9" i="18" s="1"/>
  <c r="E9" i="18"/>
  <c r="R8" i="18"/>
  <c r="Q8" i="18" s="1"/>
  <c r="N8" i="18"/>
  <c r="M8" i="18" s="1"/>
  <c r="J8" i="18"/>
  <c r="I8" i="18" s="1"/>
  <c r="F8" i="18"/>
  <c r="E8" i="18" s="1"/>
  <c r="D8" i="18" l="1"/>
  <c r="D9" i="18"/>
  <c r="D14" i="18"/>
  <c r="D15" i="18"/>
  <c r="F30" i="18"/>
  <c r="J30" i="18"/>
  <c r="N30" i="18"/>
  <c r="R30" i="18"/>
  <c r="O46" i="14"/>
  <c r="R31" i="18" l="1"/>
  <c r="Q31" i="18" s="1"/>
  <c r="Q30" i="18"/>
  <c r="J31" i="18"/>
  <c r="I31" i="18" s="1"/>
  <c r="I30" i="18"/>
  <c r="N31" i="18"/>
  <c r="M31" i="18" s="1"/>
  <c r="M30" i="18"/>
  <c r="F31" i="18"/>
  <c r="E31" i="18" s="1"/>
  <c r="D31" i="18" s="1"/>
  <c r="E30" i="18"/>
  <c r="D30" i="18" s="1"/>
  <c r="O76" i="14"/>
  <c r="D43" i="14" l="1"/>
  <c r="D42" i="14" l="1"/>
  <c r="F83" i="14" l="1"/>
  <c r="G83" i="14"/>
  <c r="H83" i="14"/>
  <c r="I83" i="14"/>
  <c r="J83" i="14"/>
  <c r="K83" i="14"/>
  <c r="L83" i="14"/>
  <c r="M83" i="14"/>
  <c r="N83" i="14"/>
  <c r="O83" i="14"/>
  <c r="P83" i="14"/>
  <c r="Q83" i="14"/>
  <c r="E83" i="14"/>
  <c r="F53" i="14"/>
  <c r="G53" i="14"/>
  <c r="H53" i="14"/>
  <c r="I53" i="14"/>
  <c r="J53" i="14"/>
  <c r="L53" i="14"/>
  <c r="M53" i="14"/>
  <c r="N53" i="14"/>
  <c r="O53" i="14"/>
  <c r="P53" i="14"/>
  <c r="Q53" i="14"/>
  <c r="E53" i="14"/>
  <c r="D83" i="14" l="1"/>
  <c r="D84" i="14" s="1"/>
  <c r="D24" i="14"/>
  <c r="D37" i="14" l="1"/>
  <c r="K36" i="14" l="1"/>
  <c r="K53" i="14" s="1"/>
  <c r="D53" i="14" s="1"/>
  <c r="D54" i="14" s="1"/>
  <c r="D30" i="14" l="1"/>
  <c r="D31" i="14"/>
  <c r="D77" i="14" l="1"/>
  <c r="D78" i="14"/>
  <c r="D79" i="14"/>
  <c r="D80" i="14"/>
  <c r="D81" i="14"/>
  <c r="D75" i="14"/>
  <c r="D76" i="14"/>
  <c r="D82" i="14"/>
  <c r="D12" i="14" l="1"/>
  <c r="D13" i="14"/>
  <c r="D14" i="14"/>
  <c r="D15" i="14"/>
  <c r="D16" i="14"/>
  <c r="D17" i="14"/>
  <c r="D18" i="14"/>
  <c r="D19" i="14"/>
  <c r="D20" i="14"/>
  <c r="D21" i="14"/>
  <c r="D22" i="14"/>
  <c r="D23" i="14"/>
  <c r="D25" i="14"/>
  <c r="D26" i="14"/>
  <c r="D27" i="14"/>
  <c r="D28" i="14"/>
  <c r="D29" i="14"/>
  <c r="D32" i="14"/>
  <c r="D33" i="14"/>
  <c r="D34" i="14"/>
  <c r="D35" i="14"/>
  <c r="D36" i="14"/>
  <c r="D38" i="14"/>
  <c r="K56" i="12" l="1"/>
  <c r="K57" i="12"/>
  <c r="K58" i="12"/>
  <c r="AB15" i="12"/>
  <c r="N68" i="12" l="1"/>
  <c r="N55" i="12"/>
  <c r="AK53" i="12" l="1"/>
  <c r="AK52" i="12"/>
  <c r="AK51" i="12"/>
  <c r="AK50" i="12"/>
  <c r="AK49" i="12"/>
  <c r="AK48" i="12"/>
  <c r="AK47" i="12"/>
  <c r="AK46" i="12"/>
  <c r="AK45" i="12"/>
  <c r="AK44" i="12"/>
  <c r="AK43" i="12"/>
  <c r="AK42" i="12"/>
  <c r="AK41" i="12"/>
  <c r="AK40" i="12"/>
  <c r="AK39" i="12"/>
  <c r="AK38" i="12"/>
  <c r="AM39" i="12"/>
  <c r="AM40" i="12"/>
  <c r="AM41" i="12"/>
  <c r="AM42" i="12"/>
  <c r="AM43" i="12"/>
  <c r="AM44" i="12"/>
  <c r="AM45" i="12"/>
  <c r="AM46" i="12"/>
  <c r="AM47" i="12"/>
  <c r="AM48" i="12"/>
  <c r="AM49" i="12"/>
  <c r="AM50" i="12"/>
  <c r="AM51" i="12"/>
  <c r="AM52" i="12"/>
  <c r="AM38" i="12"/>
  <c r="X18" i="12" l="1"/>
  <c r="T40" i="12" l="1"/>
  <c r="D52" i="14" l="1"/>
  <c r="D51" i="14"/>
  <c r="D50" i="14"/>
  <c r="D49" i="14"/>
  <c r="D48" i="14"/>
  <c r="D47" i="14"/>
  <c r="D46" i="14"/>
  <c r="D45" i="14"/>
  <c r="D44" i="14"/>
  <c r="D41" i="14"/>
  <c r="D40" i="14"/>
  <c r="D39" i="14"/>
  <c r="T64" i="12" l="1"/>
  <c r="T66" i="12"/>
  <c r="T61" i="12"/>
  <c r="T57" i="12"/>
  <c r="T54" i="12"/>
  <c r="T46" i="12"/>
  <c r="T39" i="12"/>
  <c r="Y14" i="12" l="1"/>
  <c r="AO38" i="12" l="1"/>
  <c r="AB16" i="12" l="1"/>
  <c r="AB17" i="12"/>
  <c r="AB18" i="12"/>
  <c r="AB19" i="12"/>
  <c r="AB20" i="12"/>
  <c r="AB21" i="12"/>
  <c r="AB22" i="12"/>
  <c r="AB23" i="12"/>
  <c r="AB24" i="12"/>
  <c r="AB25" i="12"/>
  <c r="AB27" i="12"/>
  <c r="AB28" i="12"/>
  <c r="AB29" i="12"/>
  <c r="AB30" i="12"/>
  <c r="AB31" i="12"/>
  <c r="AB32" i="12"/>
  <c r="AB33" i="12"/>
  <c r="AB35" i="12"/>
  <c r="AB38" i="12"/>
  <c r="AB39" i="12"/>
  <c r="AB40" i="12"/>
  <c r="AB41" i="12"/>
  <c r="AB42" i="12"/>
  <c r="AB43" i="12"/>
  <c r="AB44" i="12"/>
  <c r="AB45" i="12"/>
  <c r="AB46" i="12"/>
  <c r="AB47" i="12"/>
  <c r="AB48" i="12"/>
  <c r="AB49" i="12"/>
  <c r="AB50" i="12"/>
  <c r="AB51" i="12"/>
  <c r="AB52" i="12"/>
  <c r="AB54" i="12"/>
  <c r="AB56" i="12"/>
  <c r="C56" i="12" s="1"/>
  <c r="B56" i="12" s="1"/>
  <c r="AB57" i="12"/>
  <c r="C57" i="12" s="1"/>
  <c r="B57" i="12" s="1"/>
  <c r="AB58" i="12"/>
  <c r="C58" i="12" s="1"/>
  <c r="B58" i="12" s="1"/>
  <c r="AB59" i="12"/>
  <c r="AB60" i="12"/>
  <c r="AB61" i="12"/>
  <c r="AB62" i="12"/>
  <c r="AB63" i="12"/>
  <c r="AB64" i="12"/>
  <c r="AB65" i="12"/>
  <c r="AB66" i="12"/>
  <c r="AB67" i="12"/>
  <c r="AD68" i="12"/>
  <c r="AE68" i="12"/>
  <c r="AF68" i="12"/>
  <c r="AG68" i="12"/>
  <c r="AC68" i="12"/>
  <c r="O68" i="12"/>
  <c r="P68" i="12"/>
  <c r="Q68" i="12"/>
  <c r="R68" i="12"/>
  <c r="S68" i="12"/>
  <c r="T68" i="12"/>
  <c r="U68" i="12"/>
  <c r="V68" i="12"/>
  <c r="W68" i="12"/>
  <c r="X68" i="12"/>
  <c r="Y68" i="12"/>
  <c r="Z68" i="12"/>
  <c r="AA68" i="12"/>
  <c r="E68" i="12"/>
  <c r="F68" i="12"/>
  <c r="G68" i="12"/>
  <c r="H68" i="12"/>
  <c r="I68" i="12"/>
  <c r="J68" i="12"/>
  <c r="D68" i="12"/>
  <c r="D55" i="12"/>
  <c r="AF13" i="12"/>
  <c r="Y13" i="12"/>
  <c r="AB68" i="12" l="1"/>
  <c r="S52" i="12"/>
  <c r="S50" i="12"/>
  <c r="S49" i="12"/>
  <c r="S48" i="12"/>
  <c r="S47" i="12"/>
  <c r="S43" i="12"/>
  <c r="S38" i="12"/>
  <c r="S51" i="12" l="1"/>
  <c r="K64" i="12"/>
  <c r="C64" i="12" s="1"/>
  <c r="B64" i="12" s="1"/>
  <c r="K65" i="12"/>
  <c r="C65" i="12" s="1"/>
  <c r="B65" i="12" s="1"/>
  <c r="K66" i="12"/>
  <c r="C66" i="12" s="1"/>
  <c r="B66" i="12" s="1"/>
  <c r="K67" i="12"/>
  <c r="C67" i="12" s="1"/>
  <c r="B67" i="12" s="1"/>
  <c r="E15" i="12" l="1"/>
  <c r="D15" i="12"/>
  <c r="AG48" i="12" l="1"/>
  <c r="AG53" i="12" s="1"/>
  <c r="AO49" i="12"/>
  <c r="AO50" i="12"/>
  <c r="AO51" i="12"/>
  <c r="AO52" i="12"/>
  <c r="AI53" i="12"/>
  <c r="AO48" i="12" l="1"/>
  <c r="AO47" i="12"/>
  <c r="K69" i="12"/>
  <c r="D70" i="12"/>
  <c r="AB69" i="12"/>
  <c r="E70" i="12"/>
  <c r="F70" i="12"/>
  <c r="G70" i="12"/>
  <c r="H70" i="12"/>
  <c r="I70" i="12"/>
  <c r="J70" i="12"/>
  <c r="L70" i="12"/>
  <c r="M70" i="12"/>
  <c r="N70" i="12"/>
  <c r="O70" i="12"/>
  <c r="P70" i="12"/>
  <c r="Q70" i="12"/>
  <c r="R70" i="12"/>
  <c r="S70" i="12"/>
  <c r="T70" i="12"/>
  <c r="U70" i="12"/>
  <c r="V70" i="12"/>
  <c r="W70" i="12"/>
  <c r="X70" i="12"/>
  <c r="Z70" i="12"/>
  <c r="AA70" i="12"/>
  <c r="AC70" i="12"/>
  <c r="AD70" i="12"/>
  <c r="AE70" i="12"/>
  <c r="AG70" i="12"/>
  <c r="L68" i="12"/>
  <c r="K68" i="12" s="1"/>
  <c r="C68" i="12" s="1"/>
  <c r="B68" i="12" s="1"/>
  <c r="M68" i="12"/>
  <c r="K47" i="12"/>
  <c r="C47" i="12" s="1"/>
  <c r="B47" i="12" s="1"/>
  <c r="K48" i="12"/>
  <c r="C48" i="12" s="1"/>
  <c r="B48" i="12" s="1"/>
  <c r="K49" i="12"/>
  <c r="C49" i="12" s="1"/>
  <c r="B49" i="12" s="1"/>
  <c r="K50" i="12"/>
  <c r="C50" i="12" s="1"/>
  <c r="B50" i="12" s="1"/>
  <c r="K51" i="12"/>
  <c r="C51" i="12" s="1"/>
  <c r="B51" i="12" s="1"/>
  <c r="K52" i="12"/>
  <c r="C52" i="12" s="1"/>
  <c r="B52" i="12" s="1"/>
  <c r="E53" i="12"/>
  <c r="F53" i="12"/>
  <c r="G53" i="12"/>
  <c r="H53" i="12"/>
  <c r="I53" i="12"/>
  <c r="J53" i="12"/>
  <c r="L53" i="12"/>
  <c r="M53" i="12"/>
  <c r="N53" i="12"/>
  <c r="O53" i="12"/>
  <c r="P53" i="12"/>
  <c r="Q53" i="12"/>
  <c r="R53" i="12"/>
  <c r="U53" i="12"/>
  <c r="V53" i="12"/>
  <c r="W53" i="12"/>
  <c r="X53" i="12"/>
  <c r="Z53" i="12"/>
  <c r="AA53" i="12"/>
  <c r="AC53" i="12"/>
  <c r="AD53" i="12"/>
  <c r="AB53" i="12" s="1"/>
  <c r="AE53" i="12"/>
  <c r="D53" i="12"/>
  <c r="K23" i="12"/>
  <c r="C23" i="12" s="1"/>
  <c r="B23" i="12" s="1"/>
  <c r="K24" i="12"/>
  <c r="C24" i="12" s="1"/>
  <c r="B24" i="12" s="1"/>
  <c r="K25" i="12"/>
  <c r="C25" i="12" s="1"/>
  <c r="B25" i="12" s="1"/>
  <c r="K31" i="12"/>
  <c r="C31" i="12" s="1"/>
  <c r="B31" i="12" s="1"/>
  <c r="K32" i="12"/>
  <c r="C32" i="12" s="1"/>
  <c r="B32" i="12" s="1"/>
  <c r="K33" i="12"/>
  <c r="C33" i="12" s="1"/>
  <c r="B33" i="12" s="1"/>
  <c r="E34" i="12"/>
  <c r="F34" i="12"/>
  <c r="G34" i="12"/>
  <c r="H34" i="12"/>
  <c r="I34" i="12"/>
  <c r="J34" i="12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Z34" i="12"/>
  <c r="AA34" i="12"/>
  <c r="AC34" i="12"/>
  <c r="AD34" i="12"/>
  <c r="AE34" i="12"/>
  <c r="AG34" i="12"/>
  <c r="D34" i="12"/>
  <c r="K30" i="12"/>
  <c r="C30" i="12" s="1"/>
  <c r="B30" i="12" s="1"/>
  <c r="E26" i="12"/>
  <c r="F26" i="12"/>
  <c r="G26" i="12"/>
  <c r="H26" i="12"/>
  <c r="I26" i="12"/>
  <c r="J26" i="12"/>
  <c r="L26" i="12"/>
  <c r="M26" i="12"/>
  <c r="N26" i="12"/>
  <c r="O26" i="12"/>
  <c r="P26" i="12"/>
  <c r="Q26" i="12"/>
  <c r="R26" i="12"/>
  <c r="S26" i="12"/>
  <c r="U26" i="12"/>
  <c r="V26" i="12"/>
  <c r="W26" i="12"/>
  <c r="X26" i="12"/>
  <c r="Z26" i="12"/>
  <c r="AA26" i="12"/>
  <c r="AC26" i="12"/>
  <c r="AD26" i="12"/>
  <c r="AE26" i="12"/>
  <c r="AG26" i="12"/>
  <c r="D26" i="12"/>
  <c r="AB26" i="12" l="1"/>
  <c r="AB34" i="12"/>
  <c r="K70" i="12"/>
  <c r="AB70" i="12"/>
  <c r="D36" i="12"/>
  <c r="Z37" i="12"/>
  <c r="C69" i="12"/>
  <c r="B69" i="12" s="1"/>
  <c r="K53" i="12"/>
  <c r="K26" i="12"/>
  <c r="K34" i="12"/>
  <c r="C34" i="12" s="1"/>
  <c r="B34" i="12" s="1"/>
  <c r="C70" i="12" l="1"/>
  <c r="B70" i="12" s="1"/>
  <c r="AD55" i="12" l="1"/>
  <c r="AD37" i="12" l="1"/>
  <c r="T53" i="12"/>
  <c r="S46" i="12" l="1"/>
  <c r="S45" i="12"/>
  <c r="S44" i="12"/>
  <c r="S42" i="12"/>
  <c r="S41" i="12"/>
  <c r="S40" i="12"/>
  <c r="S39" i="12"/>
  <c r="S53" i="12" s="1"/>
  <c r="C53" i="12" s="1"/>
  <c r="B53" i="12" s="1"/>
  <c r="AM53" i="12" l="1"/>
  <c r="AQ53" i="12" s="1"/>
  <c r="AI56" i="12" l="1"/>
  <c r="AM56" i="12" s="1"/>
  <c r="K63" i="12" l="1"/>
  <c r="C63" i="12" s="1"/>
  <c r="B63" i="12" s="1"/>
  <c r="K62" i="12"/>
  <c r="C62" i="12" s="1"/>
  <c r="B62" i="12" s="1"/>
  <c r="K61" i="12"/>
  <c r="C61" i="12" s="1"/>
  <c r="B61" i="12" s="1"/>
  <c r="K60" i="12"/>
  <c r="C60" i="12" s="1"/>
  <c r="B60" i="12" s="1"/>
  <c r="K59" i="12"/>
  <c r="C59" i="12" s="1"/>
  <c r="B59" i="12" s="1"/>
  <c r="AG55" i="12"/>
  <c r="AG37" i="12" s="1"/>
  <c r="AE55" i="12"/>
  <c r="AE37" i="12" s="1"/>
  <c r="AC55" i="12"/>
  <c r="AB55" i="12" s="1"/>
  <c r="AA55" i="12"/>
  <c r="AA37" i="12" s="1"/>
  <c r="X55" i="12"/>
  <c r="X37" i="12" s="1"/>
  <c r="W55" i="12"/>
  <c r="W37" i="12" s="1"/>
  <c r="V55" i="12"/>
  <c r="V37" i="12" s="1"/>
  <c r="U55" i="12"/>
  <c r="U37" i="12" s="1"/>
  <c r="S55" i="12"/>
  <c r="S37" i="12" s="1"/>
  <c r="Q55" i="12"/>
  <c r="Q37" i="12" s="1"/>
  <c r="P55" i="12"/>
  <c r="P37" i="12" s="1"/>
  <c r="O55" i="12"/>
  <c r="O37" i="12" s="1"/>
  <c r="N37" i="12"/>
  <c r="M55" i="12"/>
  <c r="M37" i="12" s="1"/>
  <c r="L55" i="12"/>
  <c r="K55" i="12" s="1"/>
  <c r="J55" i="12"/>
  <c r="J37" i="12" s="1"/>
  <c r="I55" i="12"/>
  <c r="I37" i="12" s="1"/>
  <c r="H55" i="12"/>
  <c r="H37" i="12" s="1"/>
  <c r="G55" i="12"/>
  <c r="G37" i="12" s="1"/>
  <c r="F55" i="12"/>
  <c r="F37" i="12" s="1"/>
  <c r="E55" i="12"/>
  <c r="D37" i="12"/>
  <c r="T55" i="12"/>
  <c r="T37" i="12" s="1"/>
  <c r="R55" i="12"/>
  <c r="R37" i="12" s="1"/>
  <c r="K54" i="12"/>
  <c r="C54" i="12" s="1"/>
  <c r="B54" i="12" s="1"/>
  <c r="K46" i="12"/>
  <c r="C46" i="12" s="1"/>
  <c r="B46" i="12" s="1"/>
  <c r="AO45" i="12"/>
  <c r="K45" i="12"/>
  <c r="C45" i="12" s="1"/>
  <c r="B45" i="12" s="1"/>
  <c r="AO44" i="12"/>
  <c r="K44" i="12"/>
  <c r="C44" i="12" s="1"/>
  <c r="B44" i="12" s="1"/>
  <c r="AO43" i="12"/>
  <c r="K43" i="12"/>
  <c r="C43" i="12" s="1"/>
  <c r="B43" i="12" s="1"/>
  <c r="AO42" i="12"/>
  <c r="K42" i="12"/>
  <c r="C42" i="12" s="1"/>
  <c r="B42" i="12" s="1"/>
  <c r="AO41" i="12"/>
  <c r="K41" i="12"/>
  <c r="C41" i="12" s="1"/>
  <c r="B41" i="12" s="1"/>
  <c r="AO40" i="12"/>
  <c r="K40" i="12"/>
  <c r="C40" i="12" s="1"/>
  <c r="B40" i="12" s="1"/>
  <c r="AO39" i="12"/>
  <c r="K39" i="12"/>
  <c r="C39" i="12" s="1"/>
  <c r="B39" i="12" s="1"/>
  <c r="K38" i="12"/>
  <c r="C38" i="12" s="1"/>
  <c r="B38" i="12" s="1"/>
  <c r="K35" i="12"/>
  <c r="C35" i="12" s="1"/>
  <c r="B35" i="12" s="1"/>
  <c r="J36" i="12"/>
  <c r="K29" i="12"/>
  <c r="C29" i="12" s="1"/>
  <c r="B29" i="12" s="1"/>
  <c r="K28" i="12"/>
  <c r="C28" i="12" s="1"/>
  <c r="B28" i="12" s="1"/>
  <c r="K27" i="12"/>
  <c r="C27" i="12" s="1"/>
  <c r="B27" i="12" s="1"/>
  <c r="AD36" i="12"/>
  <c r="P36" i="12"/>
  <c r="K22" i="12"/>
  <c r="C22" i="12" s="1"/>
  <c r="B22" i="12" s="1"/>
  <c r="K21" i="12"/>
  <c r="C21" i="12" s="1"/>
  <c r="B21" i="12" s="1"/>
  <c r="K20" i="12"/>
  <c r="C20" i="12" s="1"/>
  <c r="B20" i="12" s="1"/>
  <c r="T26" i="12"/>
  <c r="C26" i="12" s="1"/>
  <c r="B26" i="12" s="1"/>
  <c r="K19" i="12"/>
  <c r="C19" i="12" s="1"/>
  <c r="B19" i="12" s="1"/>
  <c r="K18" i="12"/>
  <c r="C18" i="12" s="1"/>
  <c r="B18" i="12" s="1"/>
  <c r="K17" i="12"/>
  <c r="C17" i="12" s="1"/>
  <c r="B17" i="12" s="1"/>
  <c r="K16" i="12"/>
  <c r="C16" i="12" s="1"/>
  <c r="B16" i="12" s="1"/>
  <c r="T14" i="12"/>
  <c r="K15" i="12"/>
  <c r="C15" i="12" s="1"/>
  <c r="B15" i="12" s="1"/>
  <c r="AG14" i="12"/>
  <c r="AE14" i="12"/>
  <c r="AD14" i="12"/>
  <c r="AC14" i="12"/>
  <c r="AA14" i="12"/>
  <c r="Z14" i="12"/>
  <c r="Z13" i="12" s="1"/>
  <c r="X14" i="12"/>
  <c r="W14" i="12"/>
  <c r="V14" i="12"/>
  <c r="U14" i="12"/>
  <c r="S14" i="12"/>
  <c r="R14" i="12"/>
  <c r="Q14" i="12"/>
  <c r="P14" i="12"/>
  <c r="O14" i="12"/>
  <c r="N14" i="12"/>
  <c r="K14" i="12" s="1"/>
  <c r="J14" i="12"/>
  <c r="I14" i="12"/>
  <c r="H14" i="12"/>
  <c r="G14" i="12"/>
  <c r="F14" i="12"/>
  <c r="E14" i="12"/>
  <c r="D14" i="12"/>
  <c r="D13" i="12" l="1"/>
  <c r="C14" i="12"/>
  <c r="B14" i="12" s="1"/>
  <c r="E37" i="12"/>
  <c r="C55" i="12"/>
  <c r="B55" i="12" s="1"/>
  <c r="AB14" i="12"/>
  <c r="L37" i="12"/>
  <c r="K37" i="12" s="1"/>
  <c r="AC37" i="12"/>
  <c r="AB37" i="12" s="1"/>
  <c r="C37" i="12" s="1"/>
  <c r="B37" i="12" s="1"/>
  <c r="M36" i="12"/>
  <c r="V36" i="12"/>
  <c r="V13" i="12" s="1"/>
  <c r="AE36" i="12"/>
  <c r="AG36" i="12"/>
  <c r="J13" i="12"/>
  <c r="T36" i="12"/>
  <c r="S36" i="12"/>
  <c r="H36" i="12"/>
  <c r="I36" i="12"/>
  <c r="N36" i="12"/>
  <c r="O36" i="12"/>
  <c r="P13" i="12"/>
  <c r="W36" i="12"/>
  <c r="W13" i="12" s="1"/>
  <c r="U36" i="12"/>
  <c r="AC36" i="12"/>
  <c r="AB36" i="12" s="1"/>
  <c r="E36" i="12"/>
  <c r="Q36" i="12"/>
  <c r="R36" i="12"/>
  <c r="AD13" i="12"/>
  <c r="X36" i="12"/>
  <c r="L36" i="12"/>
  <c r="G36" i="12"/>
  <c r="G13" i="12" s="1"/>
  <c r="AA36" i="12"/>
  <c r="AA13" i="12" s="1"/>
  <c r="F36" i="12"/>
  <c r="F13" i="12" s="1"/>
  <c r="AO46" i="12"/>
  <c r="AG13" i="12" l="1"/>
  <c r="M13" i="12"/>
  <c r="O13" i="12"/>
  <c r="AE13" i="12"/>
  <c r="T13" i="12"/>
  <c r="K36" i="12"/>
  <c r="C36" i="12" s="1"/>
  <c r="B36" i="12" s="1"/>
  <c r="I13" i="12"/>
  <c r="N13" i="12"/>
  <c r="H13" i="12"/>
  <c r="L13" i="12"/>
  <c r="S13" i="12"/>
  <c r="R13" i="12"/>
  <c r="Q13" i="12"/>
  <c r="X13" i="12"/>
  <c r="U13" i="12"/>
  <c r="E13" i="12"/>
  <c r="AO53" i="12"/>
  <c r="AC13" i="12"/>
  <c r="AB13" i="12" l="1"/>
  <c r="K13" i="12"/>
  <c r="C13" i="12" s="1"/>
  <c r="C7" i="12" l="1"/>
  <c r="D7" i="12" s="1"/>
  <c r="B13" i="12"/>
  <c r="A7" i="12" s="1"/>
  <c r="AL38" i="12"/>
  <c r="AN38" i="12" s="1"/>
  <c r="AL39" i="12"/>
  <c r="AN39" i="12" s="1"/>
  <c r="AP39" i="12" s="1"/>
  <c r="AL40" i="12" l="1"/>
  <c r="AN40" i="12" s="1"/>
  <c r="AP40" i="12" s="1"/>
  <c r="AL41" i="12"/>
  <c r="AN41" i="12" s="1"/>
  <c r="AP41" i="12" s="1"/>
  <c r="AP38" i="12" l="1"/>
  <c r="AL42" i="12"/>
  <c r="AN42" i="12" s="1"/>
  <c r="AP42" i="12" s="1"/>
  <c r="AL43" i="12" l="1"/>
  <c r="AN43" i="12" s="1"/>
  <c r="AP43" i="12" s="1"/>
  <c r="AL44" i="12" l="1"/>
  <c r="AN44" i="12" s="1"/>
  <c r="AP44" i="12" s="1"/>
  <c r="AL45" i="12" l="1"/>
  <c r="AN45" i="12" s="1"/>
  <c r="AP45" i="12" s="1"/>
  <c r="AL46" i="12" l="1"/>
  <c r="AN46" i="12" s="1"/>
  <c r="AP46" i="12" s="1"/>
  <c r="AL47" i="12" l="1"/>
  <c r="AN47" i="12" s="1"/>
  <c r="AP47" i="12" s="1"/>
  <c r="AL48" i="12" l="1"/>
  <c r="AN48" i="12" s="1"/>
  <c r="AP48" i="12" s="1"/>
  <c r="AL49" i="12" l="1"/>
  <c r="AN49" i="12" s="1"/>
  <c r="AP49" i="12" s="1"/>
  <c r="AL50" i="12" l="1"/>
  <c r="AN50" i="12" s="1"/>
  <c r="AP50" i="12" s="1"/>
  <c r="AL51" i="12" l="1"/>
  <c r="AN51" i="12" s="1"/>
  <c r="AP51" i="12" s="1"/>
  <c r="AL52" i="12" l="1"/>
  <c r="AN52" i="12"/>
  <c r="AL53" i="12"/>
  <c r="AP52" i="12" l="1"/>
  <c r="AN53" i="12"/>
  <c r="AP53" i="12" l="1"/>
  <c r="AI55" i="12"/>
  <c r="AM55" i="12" s="1"/>
  <c r="AM57" i="12" l="1"/>
  <c r="AI54" i="12"/>
  <c r="AM54" i="12" s="1"/>
</calcChain>
</file>

<file path=xl/comments1.xml><?xml version="1.0" encoding="utf-8"?>
<comments xmlns="http://schemas.openxmlformats.org/spreadsheetml/2006/main">
  <authors>
    <author>Пользователь</author>
  </authors>
  <commentList>
    <comment ref="X18" authorId="0" shape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10299,8 миң сом 2025-жылга төлөм, 2126,5 миң сом 2026-жылдын январь айына</t>
        </r>
      </text>
    </comment>
  </commentList>
</comments>
</file>

<file path=xl/comments2.xml><?xml version="1.0" encoding="utf-8"?>
<comments xmlns="http://schemas.openxmlformats.org/spreadsheetml/2006/main">
  <authors>
    <author>Пользователь</author>
  </authors>
  <commentList>
    <comment ref="B77" authorId="0" shapeId="0">
      <text>
        <r>
          <rPr>
            <b/>
            <sz val="9"/>
            <color indexed="81"/>
            <rFont val="Tahoma"/>
            <charset val="1"/>
          </rPr>
          <t>Пользователь:</t>
        </r>
        <r>
          <rPr>
            <sz val="9"/>
            <color indexed="81"/>
            <rFont val="Tahoma"/>
            <charset val="1"/>
          </rPr>
          <t xml:space="preserve">
ИНтер Тоо Кен ЖЧКсы тарабынан мат помощь соц пакеттен чз Токторбаев Искак</t>
        </r>
      </text>
    </comment>
  </commentList>
</comments>
</file>

<file path=xl/sharedStrings.xml><?xml version="1.0" encoding="utf-8"?>
<sst xmlns="http://schemas.openxmlformats.org/spreadsheetml/2006/main" count="255" uniqueCount="219">
  <si>
    <t xml:space="preserve">Классификация </t>
  </si>
  <si>
    <t>Всего средств.</t>
  </si>
  <si>
    <t>Всего бюджетных средств.</t>
  </si>
  <si>
    <t>Заработная плата</t>
  </si>
  <si>
    <t>Взносы в социальный фонд</t>
  </si>
  <si>
    <t>Командировочные расходы</t>
  </si>
  <si>
    <t>Услуги связи</t>
  </si>
  <si>
    <t>Аренда зданий и помещений</t>
  </si>
  <si>
    <t>Транспортные услуги</t>
  </si>
  <si>
    <t>Приобретение в прочих товаров и услуг.</t>
  </si>
  <si>
    <t>Приобр.продуктов питания</t>
  </si>
  <si>
    <t>Расходы на текущий ремонт имущества</t>
  </si>
  <si>
    <t>Приобретение предметов и материалов для текущих хозяственных целей</t>
  </si>
  <si>
    <t>Таш комурду сатып алуу</t>
  </si>
  <si>
    <t>Отундун башка турлорун алуу</t>
  </si>
  <si>
    <t>Плата за воду</t>
  </si>
  <si>
    <t>Плата за электро энергию</t>
  </si>
  <si>
    <t>Субсидии финансовым государственным предприятием</t>
  </si>
  <si>
    <t xml:space="preserve">Социальные выплаты населению </t>
  </si>
  <si>
    <t xml:space="preserve"> Резервный фонд.</t>
  </si>
  <si>
    <t>Активы и обязательства</t>
  </si>
  <si>
    <t>Здания и сооружения</t>
  </si>
  <si>
    <t>Машины и оборудования</t>
  </si>
  <si>
    <t>Другие основные фонды</t>
  </si>
  <si>
    <t>Специальные средства</t>
  </si>
  <si>
    <t>Всего:</t>
  </si>
  <si>
    <t>Расходы связанные с оплатой прочих услуг</t>
  </si>
  <si>
    <t>в.т.ч.</t>
  </si>
  <si>
    <t>Чрезвычайная ситуатция</t>
  </si>
  <si>
    <t>функции</t>
  </si>
  <si>
    <t>Всего а/О</t>
  </si>
  <si>
    <t>Жалпы башкаруу аппарат</t>
  </si>
  <si>
    <t>Аппарат</t>
  </si>
  <si>
    <t>Кенеш</t>
  </si>
  <si>
    <t>Экономические вопросы</t>
  </si>
  <si>
    <t xml:space="preserve">Библотека Чакмак-Суу </t>
  </si>
  <si>
    <t xml:space="preserve">Библотека Башкы-Терек </t>
  </si>
  <si>
    <t xml:space="preserve">Библотека Коргон-Сай </t>
  </si>
  <si>
    <t xml:space="preserve">Библотека Айгыр-Жал </t>
  </si>
  <si>
    <t>Итого библотека.</t>
  </si>
  <si>
    <t>Клуб Башкы-Терек</t>
  </si>
  <si>
    <t>Клуб Коргон-Сай</t>
  </si>
  <si>
    <t xml:space="preserve">Клуб Каныш-Кыя </t>
  </si>
  <si>
    <t>Клуб Айгыр-Жал</t>
  </si>
  <si>
    <t>Итого клуб.</t>
  </si>
  <si>
    <t>Бухгалтерия</t>
  </si>
  <si>
    <t>Всего Культура:</t>
  </si>
  <si>
    <t xml:space="preserve">Бала бакчанын </t>
  </si>
  <si>
    <t>Образование-всего</t>
  </si>
  <si>
    <t>аталышы</t>
  </si>
  <si>
    <t>баланын саны</t>
  </si>
  <si>
    <t>тамак ичуучу кун</t>
  </si>
  <si>
    <t>сом</t>
  </si>
  <si>
    <t>баары</t>
  </si>
  <si>
    <t>спецтен</t>
  </si>
  <si>
    <t>бюджетен</t>
  </si>
  <si>
    <t>Всего-д/сады</t>
  </si>
  <si>
    <t>н.с.ш.Ташикеев</t>
  </si>
  <si>
    <t>Баары</t>
  </si>
  <si>
    <t>сом питание 1 кунго</t>
  </si>
  <si>
    <t>сом спецтен</t>
  </si>
  <si>
    <t>Итого по н.с.ш.</t>
  </si>
  <si>
    <t>бюджеттен</t>
  </si>
  <si>
    <t>сом бюджеттен</t>
  </si>
  <si>
    <t>с.ш.С.Дозонов</t>
  </si>
  <si>
    <t>сом кошумча бюджеттен берилет</t>
  </si>
  <si>
    <t>с.ш.Акназаров</t>
  </si>
  <si>
    <t>с.ш. Кайынсуу</t>
  </si>
  <si>
    <t>с.ш.Байдоолотов</t>
  </si>
  <si>
    <t>с.ш.Баймырзаев</t>
  </si>
  <si>
    <t>с.ш.Исмаилов</t>
  </si>
  <si>
    <t>Итого по с.ш.</t>
  </si>
  <si>
    <t>к/с</t>
  </si>
  <si>
    <t>Раздели</t>
  </si>
  <si>
    <t>Баары:</t>
  </si>
  <si>
    <t xml:space="preserve">                                               Канышкыя айыл Окмотунун финансы экономика болумунун башчысы:                                                                                                                                К.Темирбеков.</t>
  </si>
  <si>
    <t>"Бекитемин"</t>
  </si>
  <si>
    <t>Каныш-Кыя айылдык Кеңештин төрагасы</t>
  </si>
  <si>
    <t>_____________ Козубаев Мирбек Мизираимович.</t>
  </si>
  <si>
    <t>Итого начальные школа.</t>
  </si>
  <si>
    <t>Библиотека Жыңы-Базар</t>
  </si>
  <si>
    <t>Библиотека Курулуш</t>
  </si>
  <si>
    <t>Библиотека Ак-Таш</t>
  </si>
  <si>
    <t>Клуб Т.Бектурганов</t>
  </si>
  <si>
    <t>Клуб Курулуш</t>
  </si>
  <si>
    <t>Клуб Ак-Таш</t>
  </si>
  <si>
    <t>Ак-Шоола б.б.</t>
  </si>
  <si>
    <t>Айчубак б.б.</t>
  </si>
  <si>
    <t>Арзуу б.б.</t>
  </si>
  <si>
    <t>Наристе б.б.</t>
  </si>
  <si>
    <t>Чебурашка б.б.</t>
  </si>
  <si>
    <t>Бал-Тил б.б.</t>
  </si>
  <si>
    <t>Алтын-бешик б.б.</t>
  </si>
  <si>
    <t>Тоо-Гулу б.б.</t>
  </si>
  <si>
    <t>Нур-Билим б.б.</t>
  </si>
  <si>
    <t>Байчечекей б.б.</t>
  </si>
  <si>
    <t>Акбермет-Нуру б.б. 3 сааттык</t>
  </si>
  <si>
    <t>Алтын-Өрөөн б.б.</t>
  </si>
  <si>
    <t>Баластан б.б.</t>
  </si>
  <si>
    <t>С.Чондоева б.б.</t>
  </si>
  <si>
    <t>Жаш-Тилек б.б.</t>
  </si>
  <si>
    <t>с.ш. К.Усупбек уулу</t>
  </si>
  <si>
    <t>с.ш. С.Мырзалиев</t>
  </si>
  <si>
    <t>с.ш. Т.Жаналиев</t>
  </si>
  <si>
    <t>с.ш. Т.Жаналиев а.о.м. Чанадалаш айылындагы филиалы</t>
  </si>
  <si>
    <t xml:space="preserve">                                                                Контролдук цифра.                                              Бюджеттик чыгымдын мектептер  жана мекемелер  боюнча бөлүнүшү</t>
  </si>
  <si>
    <r>
      <t xml:space="preserve">Канышкыя айыл аймагынын Каныш-Кыя айыл Өкмөтү  Чаткал району Жалалабат областы 2025-жыл үчүн бюджет.  </t>
    </r>
    <r>
      <rPr>
        <b/>
        <sz val="9"/>
        <color rgb="FFFF0000"/>
        <rFont val="A97_Oktom_Times"/>
        <family val="1"/>
        <charset val="1"/>
      </rPr>
      <t>№ 2 тиркеме.</t>
    </r>
  </si>
  <si>
    <t>Тамак аш боюнча 2025-жылга карата бала бакчалар боюнча.</t>
  </si>
  <si>
    <t>Муниципалдык ишкана</t>
  </si>
  <si>
    <t>Взносы в ассоциации, союзы органов МСУ КР</t>
  </si>
  <si>
    <t>Приобретение запасов горюче-смазочных материалов</t>
  </si>
  <si>
    <t>с.ш.Чакмаксуу</t>
  </si>
  <si>
    <t>с.ш.Айымбетов</t>
  </si>
  <si>
    <t xml:space="preserve">                                            Каныш-Кыя айыл аймагынын  Каныш-Кыя айыл н башчысы:                                                                                                                                 Б.Ашырбаев.</t>
  </si>
  <si>
    <t>Чыгымдын багыты</t>
  </si>
  <si>
    <t>Жалпы сумма</t>
  </si>
  <si>
    <t>2111 з/плата</t>
  </si>
  <si>
    <t>21211100 (соц.фонд 17,25%)</t>
  </si>
  <si>
    <t>22154900 (прочий)</t>
  </si>
  <si>
    <t>Чаткал райондук Балдар Оспурум Спорт Мектебин капиталдык ондоодон откорууго 13.07.2020-жылы 2096368 сомго № 152 сандуу келишим тузулуп, 2020-жылы 1986731 сом которулуп берилип 109637 сом акча каражаты калган.</t>
  </si>
  <si>
    <t>Чаткал райондук Балдар Оспурум Спорт Мектебин капиталдык ондоодон откорууго кошумча жумуш учун  04.01.2021-жылы700000 сомго № 1 сандуу келишим тузулуп, 2021-жылы 437510 сом которулуп берилип 262490 сом акча каражаты калган.</t>
  </si>
  <si>
    <t>Каныш-Кыя айылына Бакыт (ЗАГС) уйун салууга, Балдар Чыгармачылык Уйун салууга жана Каныш-Кыя мечитке  туалет (уборный) салууга ПСД даярдатууга 04.07.2019-жылы 230000 сомго келишим тузулуп, мындан 2020-жылы 115000 сом которулуп берилип, 115000 сом акча каражаты калган.</t>
  </si>
  <si>
    <t>Комецех участкасына жерди бургулоо жуолу менен суу чыгарууга "Акжолтой и Ко" ЖЧКсы менен тузулгон келишимден калган акча каражаты</t>
  </si>
  <si>
    <t xml:space="preserve">"Беккурулуш"ЖЧКсы менен 21.04.2021.ж. 137 сандуу келишимдин негизинде  Жабык кичи фудбол аянтчасына технадзордук кызмат корсотуудон калган акча каражаты  </t>
  </si>
  <si>
    <t xml:space="preserve">Каныш-Кыя айыл аймагынын айыл Өкмөтүнүн  2024-жылда  жергиликтүү салыктан жана салыктык эмес жыйымдардан түшкөн акча каражатынан </t>
  </si>
  <si>
    <t>Каныш-Кыя айылдык Кенешинин төрагасы</t>
  </si>
  <si>
    <t>Козубаев Мирбек Мизираимович</t>
  </si>
  <si>
    <t>Колу _______________   "___" _____ 2025-жыл.</t>
  </si>
  <si>
    <t xml:space="preserve">Кыргыз Республикасынын Министрлер Кабинетинин "2025-жылга Кыргыз Республикасынын айыл чарбасын каттоого даярдык көрүү жана өткөрүү жөнүндө" № 122 токтомуна ылайык Кыргыз Республикасынын аймагында 2025-жылдын 1-ноябрынан 20-ноябрына чейинки мезгилде айыл чарбасын каттоого </t>
  </si>
  <si>
    <t>Каныш-Кыя айылдык Кеңешинин VIII чакырылышынын кезектеги IV  сессиясынын № 4-токтомуна № 2-тиркеме</t>
  </si>
  <si>
    <t>Общество с ограниченной ответственностью "Ырыскы-Сервис"</t>
  </si>
  <si>
    <t>Общество с ограниченной ответственностью "Долбоор Курулуш"</t>
  </si>
  <si>
    <t>Каныш-Кыя айыл Окмоту 2024-жылы Жашыл Мурас программасынын алкагында Бакай-Ата токой чарбасынан алган 12450 даана  бийиктиги 1,5 метр пирамидалуу терек көчөтүнүн акча каражаты</t>
  </si>
  <si>
    <t>Каныш-Кыя айыл аймагынын айыл Өкмөтү мекемеси 2025-жылга карата Үлүштүк дем берүүчү грантка (стим грант) Каныш-Кыя айылындагы "Чебурашка" мектепке чейинки билим берүү уюмунун 3-корпусун капиталдык оңдоодон өткөрүү долбоорунун өздүк салымы үчүн жергиликтүү бюджеттен</t>
  </si>
  <si>
    <t>Каныш-Кыя айыл аймагынын айыл Өкмөтү мекемеси 2025-жылга карата Үлүштүк дем берүүчү грантка (стим грант) Жаңы-Базар айылындагы "Алтын Өрөөн" мектепке чейинки билим берүү уюмунун айланасын королоо, көрктөндүрүү жана оюн аянтчаларын куруу долбоорунун өздүк салымы үчүн жергиликтүү бюджеттен</t>
  </si>
  <si>
    <t>Ала-Бука-Жаңы-Базар-Кировка авто унаа жолунун 7-15 км аралыганы асфальт төшөө иштерине 2022-жылдын 1-августунда  № 299 сандуу түзүлгөн келишимдин негизинде калган 5771462 сом акча каражатын которуп берүүгө</t>
  </si>
  <si>
    <t>Кыргыз Республикасынын бюджеттик кодексинин талаптарына ылайык Терек-Сай айыл Өкмөтүнөн кайтарым түрдө 2023-жылдын декабрь айында алган 2000000 сом акча каражатын кайтарып берүүгө</t>
  </si>
  <si>
    <t>Покупка канцелярские и хозяйственные товары Смаилов Садырбек Кутбидинович</t>
  </si>
  <si>
    <t>ГСМ (ДК) для генератора Исматова Бермет Суйутбековна</t>
  </si>
  <si>
    <t>ГСМ (детские сады) для генератора Исматова Бермет Суйутбековна</t>
  </si>
  <si>
    <t>ГСМ (непольные школа) для генератора Исматова Бермет Суйутбековна</t>
  </si>
  <si>
    <t>ГСМ (средняя школа) для генератора Исматова Бермет Суйутбековна</t>
  </si>
  <si>
    <t>ГСМ (библиотеки) для генератора Исматова Бермет Суйутбековна</t>
  </si>
  <si>
    <t>02.07.2021-жылдагы Каныш-Кыя айылдык Кеңешинин VII чакырылышынын кезексиз IV сессиясынын № 3 токтомунун негизинде Каныш-Кыя айылынын тургуну Осмонбеков Абдурашид Өскөнбаевич жана Айгыр-Жал айылынын тургуну Эркин уулу Жумабектин турмуш шарты оор болуп жашоого үйү жок болгондуктан ар бирине 100000 (жүз миң) сомдон бөлүнүп, берилбей калган  акча каражаты.</t>
  </si>
  <si>
    <t>01.01.2025-жылга карата калган  18431312,14  сом акча каражатын жумшоо боюнча маалымат. № 3 тиркеме.</t>
  </si>
  <si>
    <t>Каныш-Кыя айылына жабык кичи фудбол аянтчасын куруудагы кошумча жумушка 21.12.2023-жылы № 475 сандуу келишимден калган 545111 сом акча каражаты</t>
  </si>
  <si>
    <t>С.Байдоолотов мектебин жылытуу системасын отк азаны менен иштоого котельный салуунун кошумча жумушу "АЖТ Курулуш" ЖЧКсы менен 16.02.2024-жылдагы № 2 сандуу келишимден калган акча каражаты</t>
  </si>
  <si>
    <t>Башкы-Терек айылындагы С.Дозонов атындагы толук орто мектебинин эски от жагуучу имаратын капиталдык оңдоодон өткөрүүдөгү 25.02.2023-жылдагы № 25 сандуу келишимден калган 880985,80 сом акча каражаты</t>
  </si>
  <si>
    <t>Жер-Капчыгай айылынын Түлөберди-Сай участкасындагы "Түлөберди" каналын капиталдык оңдоого 18.07.2024-жылдагы №138 сандуу келишимден калган 230000 сом акча каражаты</t>
  </si>
  <si>
    <t>Чакмак-Суу айылындагы мектептин спорт залын капиталдык оңдоодон өткөрүүгө жана мектептин алдына брусчатка басууга техникалык көзөмөл жүргүзүүгө  "Ак тайлак-7" ЖЧКсы менен 29.08.2024-жылы № 217 сандуу түзүлгөн келишимден калган 157900 сом акча каражаты</t>
  </si>
  <si>
    <t>Коргон-Сай айылына таза суу чыгарууга техникалык көзөмөл жүргүзүүгө жеке ишкер  Орозов Асилбек Маманович менен 23.08.2024-жылдагы № 226 сандуу түзүлгөн келишимден калган 355572 сом акча каражаты</t>
  </si>
  <si>
    <t>Кара-Булак айылынын Кормоцех участкасындагы борбордук жолдун жээгине олтургузулган Карагайларды королоонун эмгек акысы үчүн "Чыйыр жол" ЖЧКсы менен 2024-жылы түзүгөн келишимден калган 126953 сом акча каражаты</t>
  </si>
  <si>
    <t>Айгыр-Жал айылынын борборун көрктөндүрүү боюнча "Пишпек курулуш" ЖЧКсы менен 11.09.2024-жылы № 167 сандуу түзүлгөн келишимден калган 420766 сом акча каражаты</t>
  </si>
  <si>
    <t>Айыл Өкмөтү 2024-жылы маданий иш-чараларды жана спорттук иш чараларды өткөрүү боюнча  "Ремарк Групп ЛТД" ЖЧКсы менен 15.03.2024-жылы № 40 сандуу түзүлгөн келишимден калган 18200 сом акча каражаты</t>
  </si>
  <si>
    <t>Айыл Өкмөтүнө караштуу толук эмес орто мектептерге чарбалык буюмдарды алып берүү боюнча "Арашан-Строй" ЖЧКсы менен 25.12.2024-жылдагы № 384 сандуу түзүлгөн келишимден калган 35400 сом акча каражаты</t>
  </si>
  <si>
    <t>Курулуш айылына Тай-Казан жасатып берүү боюнча "Ресурс-М" ЖЧКсы менен 21.10.2024-жылдагы № 297 сандуу түзүгөн келишимден калган 360000 сом акча каражаты</t>
  </si>
  <si>
    <t>Башкы-Терек айылына салынып жаткан муниципалдык кампага автордук көзөмөл жүргүзүүгө  "ЖАА Проектстрой" ЖЧКсы менен 04.12.2024-жылдагы № 343 сандуу келишимдин акча каражаты</t>
  </si>
  <si>
    <t>Башкы-Терек айылына салынып жаткан муниципалдык кампанын кошумча жумуштарына ДСДсын даярдоого  "ЖАА Проектстрой" ЖЧКсы менен 04.12.2024-жылдагы № 344 сандуу келишимдин акча каражаты</t>
  </si>
  <si>
    <t>Айыл Өкмөтүнө караштуу айылдык китепканаларга А 4 үлгүсүндөгү кагаз сатып алуу боюнча  "Максимус групп" ЖЧКсы менен түзүлгөн келишимдин акча каражаты</t>
  </si>
  <si>
    <t>Айыл Өкмөтүнө караштуу айылдык маданият үйлөрүнө А 4 үлгүсүндөгү кагаз сатып алуу боюнча  "Максимус групп" ЖЧКсы менен түзүлгөн келишимдин акча каражаты</t>
  </si>
  <si>
    <t xml:space="preserve">Чакмак-Суу айылындагы мектептин спорт залын капиталдык оңдоодон өткөрүүгө жана мектептин алдына брусчатка басуу боюнча  "Эльбурс Строй" ЖЧКсы менен 3450085 сомго 13.10.2023-жылы № 406 сандуу түзүлүп 2023-жылы 345008,5 сом акча каражаты которулуп берилип, келишимден калган 3105076,5 сом акча каражаты </t>
  </si>
  <si>
    <t xml:space="preserve">Айыл Окмотунө караштуу бала бакчаларда тарбияланып жаткан балдарга  ата-энелерден төлөнүүчү акча каражатынан түшкөн акча каражаты. Бул акча каражатын бала бакчалардын керектөөсүнө карата эмерек жабдуулар менен камсыз кылуусуна </t>
  </si>
  <si>
    <t>Жаны-Базар айылдык №2 үй бүлөлүк дарыгерлер тобунун имаратынын айланасын королоо боюнча "Кайнар-Строй" ЖЧКсы 30.08.2024-жылы № 227 сандуу түзүлгөн келишимден калган 27900 сом акча каражаты</t>
  </si>
  <si>
    <t>Айгыр-Жал айылындагы М. Исмаилов атындагы орто мектебинин ички капиталдык ондоо иштери Общество с ограниченной ответственностью "Соломо Курулуш" ЖЧКсы менен 01.08.2024-жылы № 203 сандуу түзүлгөн келишимден калган 204300 сом акча каражаты</t>
  </si>
  <si>
    <t>Каныш- Кыя айылындагы С.Байдоолотов атындагы инновациялык мектебин капиталдык ондоо Общество с ограниченной ответственностью "Строительная компания АКННД" ЖЧКсы менен 01.08.2024-жылы № 202 сандуу түзүлгөн келишимден калган 109600 сом акча каражаты</t>
  </si>
  <si>
    <t>Коргон-Сай айылына автоунаа ондоочу жана пескоблок чыгаруучу тетиктерди орнотуу үчүн имарат салуу үчүн ("Интер Тоо Кен" ЖЧКсы тарабынан материалдык жардам иретинде берилген акча каражаты)</t>
  </si>
  <si>
    <t>Чаткал райондук жалпы дарыгерлер практикалык борборуна авторефрактометра, гинекологического, стоматологиялык жабдыктарды алып берүүгө "ЗААВ ЧААРАТ" фирмасы аркылуу материалдык жардам иретинде түшкөн акча каражаты</t>
  </si>
  <si>
    <t>Айыл Өкмөтүнүн чарбалык күтүлбөгөн ар түрдүү чыгымдары үчүн</t>
  </si>
  <si>
    <t>Айыл Өкмөтү тарабынан аткарылуучу курулуш иштери үчүн</t>
  </si>
  <si>
    <t>01.01.2025-жылга карата калган  12024054,08 сом акча каражатын жумшоо боюнча маалымат. № 4 тиркеме.</t>
  </si>
  <si>
    <t xml:space="preserve">                                            Каныш-Кыя айыл аймагынын  Каныш-Кыя айыл Өкмөтүнүн башчысы:                                            </t>
  </si>
  <si>
    <t xml:space="preserve">Канышкыя айыл Өкмөтүнүн финансы экономика бөлүмүнүн башчысы:                                                                                   </t>
  </si>
  <si>
    <t>Б.Ашырбаев.</t>
  </si>
  <si>
    <t>К.Темирбеков.</t>
  </si>
  <si>
    <t>Жер-Капчыгай айылындагы ФАПтын курулушу боюнча "Грузотрейд" ЖЧКсы менен 12.01.2022-жылы № 2 сандуу келишимге 18.12.2024-жылдагы № 371 сандуу келишимдин негизинде КРМКне караштуу Архитектура, Курулуш жана Турак жай-Коммуналдык Чарба мамлекеттик агенттигинин "Баа түзүү жана сметалык ченемдөө борборунун 15-декабрь 2022-жылдагы № АГ-2пр буйругунун негизинде айыл аймагында курулуп жаткан жаңы имараттардын курулуш монтаждоо жумуштарынын айлык маянасынын, техникаларынын жана курулуш материалдарынын кымбаттап кеткендигине байланыштуу жаңы индекске ылайык коефицент менен төлөө</t>
  </si>
  <si>
    <t>Чаткал райондук жалпы дарыгерлер практикалык борборунун ашканасын капиталдык оңдоодон өткөрүү боюнча "Жанибек Курулуш " ЖЧКсы менен  15.04.2022-жылдагы № 155 сандуу келишимге 28.11.2023-жылдагы № 447 сандуу  сандуу келишимдин негизинде КРМКне караштуу Архитектура, Курулуш жана Турак жай-Коммуналдык Чарба мамлекеттик агенттигинин "Баа түзүү жана сметалык ченемдөө борборунун 15-декабрь 2022-жылдагы № АГ-2пр буйругунун негизинде айыл аймагында курулуп жаткан жаңы имараттардын курулуш монтаждоо жумуштарынын айлык маянасынын, техникаларынын жана курулуш материалдарынын кымбаттап кеткендигине байланыштуу жаңы индекске ылайык коефицент менен төлөө</t>
  </si>
  <si>
    <t>Каныш-Кыя айыл аймагынын Каныш-Кыя айыл өкмөтү</t>
  </si>
  <si>
    <t>Каныш-Кыя айылдык Кеңешинин VIII-чакырылышынын</t>
  </si>
  <si>
    <t xml:space="preserve">IV-кезектеги сессиясынын №4 токтомунун №1тиркемеси </t>
  </si>
  <si>
    <t>П Л А Н</t>
  </si>
  <si>
    <t>Каныш-Кыя айыл өкмөтүнүн 2025-жылга түзүлгөн киреше бөлүгүнүн маалыматы</t>
  </si>
  <si>
    <t>Класс-я</t>
  </si>
  <si>
    <t>Наименование доходов</t>
  </si>
  <si>
    <t>Всего</t>
  </si>
  <si>
    <t>I кв</t>
  </si>
  <si>
    <t>II  кв</t>
  </si>
  <si>
    <t>III  кв</t>
  </si>
  <si>
    <t>IV  кв</t>
  </si>
  <si>
    <t>Под.нал.упл-й нал агентом</t>
  </si>
  <si>
    <t>Налог на основе патента</t>
  </si>
  <si>
    <t>Нал.на недвижимое имущества</t>
  </si>
  <si>
    <t>Налог на тран-е средство юр лиц</t>
  </si>
  <si>
    <t>Нал на тран -е средства физ лиц</t>
  </si>
  <si>
    <t>Зем.налог физ лиц</t>
  </si>
  <si>
    <t>Зем.налог.сель/хоз. назначение.</t>
  </si>
  <si>
    <t>Зем. нал не сель/хоз назначение.</t>
  </si>
  <si>
    <t>Прочие металлы, не калссиф-ные выше</t>
  </si>
  <si>
    <t>Сбор за удержание лицензии на право пользования недрами</t>
  </si>
  <si>
    <t>Плата за аренду земели в населен-х пунктах</t>
  </si>
  <si>
    <t>Плата за пользованием пастбищным угодиями</t>
  </si>
  <si>
    <t>Плата  за аренду земель ФПС</t>
  </si>
  <si>
    <t>Спец средство</t>
  </si>
  <si>
    <t>Плата за оказание доп. Услуг дошкольними и школьными учреждениям</t>
  </si>
  <si>
    <t>Плата за оказание межведомственных услуг, предоставляемых на дог. основе</t>
  </si>
  <si>
    <t>Отчисления на развитие и соодержание инфраструктуры местного значения</t>
  </si>
  <si>
    <t>в.т.ч. Нал-ые доходы</t>
  </si>
  <si>
    <t>в.т.ч. Не налог-е доходы</t>
  </si>
  <si>
    <t>Трансферттердин кварталга бөлүнүшү 2025-жылга</t>
  </si>
  <si>
    <t>Катег-й гранты</t>
  </si>
  <si>
    <t>Выр-й гранты</t>
  </si>
  <si>
    <t>Доходы+ гранты</t>
  </si>
  <si>
    <t>в.т.ч. Без спец средств.</t>
  </si>
  <si>
    <t xml:space="preserve">Каныш-Кыя айылдык Кеңешинин төрагасы:                                                                               </t>
  </si>
  <si>
    <t xml:space="preserve">М.Козубаев </t>
  </si>
  <si>
    <t>Каныш-Кыя айыл өкмөтунүн башчысы:</t>
  </si>
  <si>
    <t>Б.Ашырбаев</t>
  </si>
  <si>
    <t xml:space="preserve"> </t>
  </si>
  <si>
    <t>Каныш-Кыя айыл өкмөтүнүн ФЭБнун башчысы:</t>
  </si>
  <si>
    <t>К.Темирбеков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</si>
</sst>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#,##0.0"/>
  </numFmts>
  <fonts count="32" x14ac:knownFonts="1"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9"/>
      <name val="A97_Oktom_Times"/>
      <family val="1"/>
      <charset val="1"/>
    </font>
    <font>
      <b/>
      <sz val="9"/>
      <name val="A97_Oktom_Times"/>
      <family val="1"/>
      <charset val="1"/>
    </font>
    <font>
      <b/>
      <sz val="9"/>
      <color rgb="FFFF0000"/>
      <name val="A97_Oktom_Times"/>
      <family val="1"/>
      <charset val="1"/>
    </font>
    <font>
      <sz val="9"/>
      <color rgb="FF0000FF"/>
      <name val="A97_Oktom_Times"/>
      <family val="1"/>
      <charset val="1"/>
    </font>
    <font>
      <b/>
      <sz val="9"/>
      <color rgb="FFC00000"/>
      <name val="A97_Oktom_Times"/>
      <family val="1"/>
      <charset val="1"/>
    </font>
    <font>
      <b/>
      <sz val="9"/>
      <color rgb="FF0000FF"/>
      <name val="A97_Oktom_Times"/>
      <family val="1"/>
      <charset val="1"/>
    </font>
    <font>
      <sz val="7"/>
      <color rgb="FF0070C0"/>
      <name val="A97_Oktom_Times"/>
      <family val="1"/>
      <charset val="1"/>
    </font>
    <font>
      <sz val="7"/>
      <color rgb="FFC00000"/>
      <name val="A97_Oktom_Times"/>
      <family val="1"/>
      <charset val="1"/>
    </font>
    <font>
      <sz val="7"/>
      <name val="A97_Oktom_Times"/>
      <family val="1"/>
      <charset val="1"/>
    </font>
    <font>
      <sz val="9"/>
      <color rgb="FFFF0000"/>
      <name val="A97_Oktom_Times"/>
      <family val="1"/>
      <charset val="1"/>
    </font>
    <font>
      <b/>
      <sz val="1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9"/>
      <name val="A97_Oktom_Times"/>
      <charset val="204"/>
    </font>
    <font>
      <sz val="9"/>
      <color rgb="FF00B050"/>
      <name val="A97_Oktom_Times"/>
      <family val="1"/>
      <charset val="1"/>
    </font>
    <font>
      <b/>
      <sz val="9"/>
      <color rgb="FF00B050"/>
      <name val="A97_Oktom_Times"/>
      <family val="1"/>
      <charset val="1"/>
    </font>
    <font>
      <sz val="7"/>
      <color rgb="FF00B050"/>
      <name val="A97_Oktom_Times"/>
      <family val="1"/>
      <charset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Arial Cyr"/>
      <charset val="204"/>
    </font>
    <font>
      <b/>
      <sz val="11"/>
      <color theme="1"/>
      <name val="Calibri"/>
      <family val="2"/>
      <scheme val="minor"/>
    </font>
    <font>
      <b/>
      <sz val="12"/>
      <name val="Arial Cyr"/>
      <charset val="204"/>
    </font>
    <font>
      <sz val="9"/>
      <name val="Arial Cyr"/>
      <charset val="204"/>
    </font>
    <font>
      <b/>
      <sz val="8"/>
      <name val="Arial Cyr"/>
      <charset val="204"/>
    </font>
    <font>
      <b/>
      <sz val="7"/>
      <name val="Arial Cyr"/>
      <charset val="204"/>
    </font>
    <font>
      <sz val="7"/>
      <name val="Arial Cyr"/>
      <charset val="204"/>
    </font>
    <font>
      <sz val="8"/>
      <name val="Arial Cyr"/>
      <charset val="204"/>
    </font>
    <font>
      <sz val="7.5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B0F0"/>
        <bgColor rgb="FF33CCCC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201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 applyAlignment="1"/>
    <xf numFmtId="0" fontId="3" fillId="0" borderId="0" xfId="0" applyFont="1" applyAlignment="1">
      <alignment horizontal="center"/>
    </xf>
    <xf numFmtId="164" fontId="2" fillId="0" borderId="0" xfId="0" applyNumberFormat="1" applyFont="1"/>
    <xf numFmtId="0" fontId="5" fillId="0" borderId="0" xfId="0" applyFont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right" textRotation="90"/>
    </xf>
    <xf numFmtId="0" fontId="8" fillId="0" borderId="0" xfId="0" applyFont="1" applyBorder="1" applyAlignment="1">
      <alignment horizontal="right"/>
    </xf>
    <xf numFmtId="0" fontId="10" fillId="0" borderId="0" xfId="0" applyFont="1" applyAlignment="1">
      <alignment horizontal="right"/>
    </xf>
    <xf numFmtId="0" fontId="3" fillId="2" borderId="4" xfId="0" applyFont="1" applyFill="1" applyBorder="1"/>
    <xf numFmtId="164" fontId="3" fillId="2" borderId="5" xfId="0" applyNumberFormat="1" applyFont="1" applyFill="1" applyBorder="1"/>
    <xf numFmtId="164" fontId="3" fillId="2" borderId="0" xfId="0" applyNumberFormat="1" applyFont="1" applyFill="1" applyBorder="1"/>
    <xf numFmtId="0" fontId="11" fillId="2" borderId="7" xfId="0" applyFont="1" applyFill="1" applyBorder="1"/>
    <xf numFmtId="164" fontId="11" fillId="0" borderId="6" xfId="0" applyNumberFormat="1" applyFont="1" applyBorder="1"/>
    <xf numFmtId="164" fontId="4" fillId="0" borderId="6" xfId="0" applyNumberFormat="1" applyFont="1" applyBorder="1"/>
    <xf numFmtId="164" fontId="3" fillId="0" borderId="5" xfId="0" applyNumberFormat="1" applyFont="1" applyBorder="1"/>
    <xf numFmtId="164" fontId="11" fillId="0" borderId="0" xfId="0" applyNumberFormat="1" applyFont="1" applyBorder="1"/>
    <xf numFmtId="164" fontId="11" fillId="0" borderId="8" xfId="0" applyNumberFormat="1" applyFont="1" applyBorder="1"/>
    <xf numFmtId="0" fontId="2" fillId="0" borderId="7" xfId="0" applyFont="1" applyBorder="1"/>
    <xf numFmtId="164" fontId="2" fillId="0" borderId="6" xfId="0" applyNumberFormat="1" applyFont="1" applyBorder="1"/>
    <xf numFmtId="165" fontId="2" fillId="0" borderId="6" xfId="0" applyNumberFormat="1" applyFont="1" applyBorder="1"/>
    <xf numFmtId="164" fontId="3" fillId="0" borderId="6" xfId="0" applyNumberFormat="1" applyFont="1" applyBorder="1"/>
    <xf numFmtId="164" fontId="2" fillId="0" borderId="8" xfId="0" applyNumberFormat="1" applyFont="1" applyBorder="1"/>
    <xf numFmtId="164" fontId="2" fillId="0" borderId="0" xfId="0" applyNumberFormat="1" applyFont="1" applyBorder="1"/>
    <xf numFmtId="2" fontId="2" fillId="0" borderId="0" xfId="0" applyNumberFormat="1" applyFont="1"/>
    <xf numFmtId="0" fontId="4" fillId="0" borderId="7" xfId="0" applyFont="1" applyBorder="1"/>
    <xf numFmtId="164" fontId="4" fillId="0" borderId="8" xfId="0" applyNumberFormat="1" applyFont="1" applyBorder="1"/>
    <xf numFmtId="164" fontId="4" fillId="0" borderId="0" xfId="0" applyNumberFormat="1" applyFont="1" applyBorder="1"/>
    <xf numFmtId="0" fontId="11" fillId="0" borderId="7" xfId="0" applyFont="1" applyBorder="1"/>
    <xf numFmtId="164" fontId="11" fillId="2" borderId="6" xfId="0" applyNumberFormat="1" applyFont="1" applyFill="1" applyBorder="1"/>
    <xf numFmtId="164" fontId="4" fillId="2" borderId="6" xfId="0" applyNumberFormat="1" applyFont="1" applyFill="1" applyBorder="1"/>
    <xf numFmtId="164" fontId="11" fillId="2" borderId="8" xfId="0" applyNumberFormat="1" applyFont="1" applyFill="1" applyBorder="1"/>
    <xf numFmtId="164" fontId="11" fillId="2" borderId="0" xfId="0" applyNumberFormat="1" applyFont="1" applyFill="1" applyBorder="1"/>
    <xf numFmtId="0" fontId="4" fillId="2" borderId="7" xfId="0" applyFont="1" applyFill="1" applyBorder="1"/>
    <xf numFmtId="164" fontId="4" fillId="2" borderId="0" xfId="0" applyNumberFormat="1" applyFont="1" applyFill="1" applyBorder="1"/>
    <xf numFmtId="0" fontId="2" fillId="0" borderId="0" xfId="0" applyFont="1" applyAlignment="1">
      <alignment horizontal="right"/>
    </xf>
    <xf numFmtId="165" fontId="2" fillId="0" borderId="0" xfId="0" applyNumberFormat="1" applyFont="1"/>
    <xf numFmtId="164" fontId="5" fillId="0" borderId="6" xfId="0" applyNumberFormat="1" applyFont="1" applyBorder="1"/>
    <xf numFmtId="0" fontId="8" fillId="0" borderId="12" xfId="0" applyFont="1" applyBorder="1" applyAlignment="1">
      <alignment horizontal="right"/>
    </xf>
    <xf numFmtId="0" fontId="8" fillId="0" borderId="13" xfId="0" applyFont="1" applyBorder="1" applyAlignment="1">
      <alignment horizontal="right"/>
    </xf>
    <xf numFmtId="164" fontId="8" fillId="0" borderId="12" xfId="0" applyNumberFormat="1" applyFont="1" applyBorder="1" applyAlignment="1">
      <alignment horizontal="right"/>
    </xf>
    <xf numFmtId="0" fontId="9" fillId="0" borderId="12" xfId="0" applyFont="1" applyBorder="1" applyAlignment="1">
      <alignment horizontal="right"/>
    </xf>
    <xf numFmtId="0" fontId="8" fillId="0" borderId="14" xfId="0" applyFont="1" applyBorder="1" applyAlignment="1">
      <alignment horizontal="right"/>
    </xf>
    <xf numFmtId="0" fontId="5" fillId="0" borderId="1" xfId="0" applyFont="1" applyBorder="1" applyAlignment="1">
      <alignment horizontal="center" vertical="center" textRotation="90" wrapText="1"/>
    </xf>
    <xf numFmtId="0" fontId="2" fillId="0" borderId="15" xfId="0" applyFont="1" applyBorder="1"/>
    <xf numFmtId="164" fontId="2" fillId="0" borderId="16" xfId="0" applyNumberFormat="1" applyFont="1" applyBorder="1"/>
    <xf numFmtId="164" fontId="2" fillId="0" borderId="17" xfId="0" applyNumberFormat="1" applyFont="1" applyBorder="1"/>
    <xf numFmtId="0" fontId="4" fillId="0" borderId="18" xfId="0" applyFont="1" applyBorder="1"/>
    <xf numFmtId="164" fontId="3" fillId="2" borderId="19" xfId="0" applyNumberFormat="1" applyFont="1" applyFill="1" applyBorder="1"/>
    <xf numFmtId="0" fontId="4" fillId="0" borderId="13" xfId="0" applyFont="1" applyBorder="1"/>
    <xf numFmtId="164" fontId="3" fillId="2" borderId="12" xfId="0" applyNumberFormat="1" applyFont="1" applyFill="1" applyBorder="1"/>
    <xf numFmtId="164" fontId="4" fillId="0" borderId="12" xfId="0" applyNumberFormat="1" applyFont="1" applyBorder="1"/>
    <xf numFmtId="164" fontId="4" fillId="0" borderId="14" xfId="0" applyNumberFormat="1" applyFont="1" applyBorder="1"/>
    <xf numFmtId="0" fontId="2" fillId="0" borderId="15" xfId="0" applyFont="1" applyBorder="1" applyAlignment="1">
      <alignment wrapText="1"/>
    </xf>
    <xf numFmtId="0" fontId="2" fillId="0" borderId="18" xfId="0" applyFont="1" applyBorder="1"/>
    <xf numFmtId="0" fontId="2" fillId="0" borderId="18" xfId="0" applyFont="1" applyBorder="1" applyAlignment="1">
      <alignment wrapText="1"/>
    </xf>
    <xf numFmtId="0" fontId="2" fillId="0" borderId="20" xfId="0" applyFont="1" applyBorder="1"/>
    <xf numFmtId="164" fontId="3" fillId="2" borderId="21" xfId="0" applyNumberFormat="1" applyFont="1" applyFill="1" applyBorder="1"/>
    <xf numFmtId="164" fontId="2" fillId="0" borderId="22" xfId="0" applyNumberFormat="1" applyFont="1" applyBorder="1"/>
    <xf numFmtId="164" fontId="3" fillId="0" borderId="21" xfId="0" applyNumberFormat="1" applyFont="1" applyBorder="1"/>
    <xf numFmtId="164" fontId="2" fillId="0" borderId="23" xfId="0" applyNumberFormat="1" applyFont="1" applyBorder="1"/>
    <xf numFmtId="164" fontId="4" fillId="2" borderId="8" xfId="0" applyNumberFormat="1" applyFont="1" applyFill="1" applyBorder="1"/>
    <xf numFmtId="0" fontId="4" fillId="0" borderId="24" xfId="0" applyFont="1" applyBorder="1"/>
    <xf numFmtId="164" fontId="4" fillId="0" borderId="25" xfId="0" applyNumberFormat="1" applyFont="1" applyBorder="1"/>
    <xf numFmtId="0" fontId="16" fillId="0" borderId="0" xfId="0" applyFont="1"/>
    <xf numFmtId="0" fontId="17" fillId="0" borderId="0" xfId="0" applyFont="1" applyAlignment="1"/>
    <xf numFmtId="0" fontId="16" fillId="0" borderId="0" xfId="0" applyFont="1" applyBorder="1"/>
    <xf numFmtId="0" fontId="18" fillId="0" borderId="12" xfId="0" applyFont="1" applyBorder="1" applyAlignment="1">
      <alignment horizontal="right"/>
    </xf>
    <xf numFmtId="164" fontId="17" fillId="2" borderId="5" xfId="0" applyNumberFormat="1" applyFont="1" applyFill="1" applyBorder="1"/>
    <xf numFmtId="164" fontId="16" fillId="0" borderId="6" xfId="0" applyNumberFormat="1" applyFont="1" applyBorder="1"/>
    <xf numFmtId="164" fontId="17" fillId="0" borderId="6" xfId="0" applyNumberFormat="1" applyFont="1" applyBorder="1"/>
    <xf numFmtId="164" fontId="16" fillId="2" borderId="6" xfId="0" applyNumberFormat="1" applyFont="1" applyFill="1" applyBorder="1"/>
    <xf numFmtId="164" fontId="17" fillId="2" borderId="6" xfId="0" applyNumberFormat="1" applyFont="1" applyFill="1" applyBorder="1"/>
    <xf numFmtId="164" fontId="16" fillId="0" borderId="22" xfId="0" applyNumberFormat="1" applyFont="1" applyBorder="1"/>
    <xf numFmtId="164" fontId="17" fillId="0" borderId="12" xfId="0" applyNumberFormat="1" applyFont="1" applyBorder="1"/>
    <xf numFmtId="0" fontId="17" fillId="0" borderId="0" xfId="0" applyFont="1" applyAlignment="1">
      <alignment horizontal="center"/>
    </xf>
    <xf numFmtId="164" fontId="16" fillId="0" borderId="0" xfId="0" applyNumberFormat="1" applyFont="1" applyBorder="1"/>
    <xf numFmtId="0" fontId="8" fillId="0" borderId="26" xfId="0" applyFont="1" applyBorder="1" applyAlignment="1">
      <alignment horizontal="right"/>
    </xf>
    <xf numFmtId="164" fontId="11" fillId="0" borderId="27" xfId="0" applyNumberFormat="1" applyFont="1" applyBorder="1"/>
    <xf numFmtId="164" fontId="2" fillId="0" borderId="27" xfId="0" applyNumberFormat="1" applyFont="1" applyBorder="1"/>
    <xf numFmtId="164" fontId="4" fillId="0" borderId="27" xfId="0" applyNumberFormat="1" applyFont="1" applyBorder="1"/>
    <xf numFmtId="164" fontId="11" fillId="2" borderId="27" xfId="0" applyNumberFormat="1" applyFont="1" applyFill="1" applyBorder="1"/>
    <xf numFmtId="164" fontId="4" fillId="2" borderId="27" xfId="0" applyNumberFormat="1" applyFont="1" applyFill="1" applyBorder="1"/>
    <xf numFmtId="164" fontId="2" fillId="0" borderId="28" xfId="0" applyNumberFormat="1" applyFont="1" applyBorder="1"/>
    <xf numFmtId="164" fontId="2" fillId="0" borderId="29" xfId="0" applyNumberFormat="1" applyFont="1" applyBorder="1"/>
    <xf numFmtId="164" fontId="4" fillId="0" borderId="26" xfId="0" applyNumberFormat="1" applyFont="1" applyBorder="1"/>
    <xf numFmtId="164" fontId="4" fillId="0" borderId="5" xfId="0" applyNumberFormat="1" applyFont="1" applyBorder="1"/>
    <xf numFmtId="164" fontId="4" fillId="3" borderId="5" xfId="0" applyNumberFormat="1" applyFont="1" applyFill="1" applyBorder="1"/>
    <xf numFmtId="164" fontId="3" fillId="3" borderId="5" xfId="0" applyNumberFormat="1" applyFont="1" applyFill="1" applyBorder="1"/>
    <xf numFmtId="164" fontId="16" fillId="0" borderId="6" xfId="0" applyNumberFormat="1" applyFont="1" applyFill="1" applyBorder="1"/>
    <xf numFmtId="0" fontId="22" fillId="0" borderId="0" xfId="0" applyFont="1" applyFill="1" applyAlignment="1"/>
    <xf numFmtId="0" fontId="21" fillId="0" borderId="0" xfId="0" applyFont="1" applyFill="1"/>
    <xf numFmtId="2" fontId="21" fillId="0" borderId="0" xfId="0" applyNumberFormat="1" applyFont="1" applyFill="1"/>
    <xf numFmtId="0" fontId="21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wrapText="1"/>
    </xf>
    <xf numFmtId="0" fontId="21" fillId="0" borderId="1" xfId="0" applyFont="1" applyFill="1" applyBorder="1" applyAlignment="1">
      <alignment horizontal="right" wrapText="1"/>
    </xf>
    <xf numFmtId="4" fontId="21" fillId="0" borderId="1" xfId="0" applyNumberFormat="1" applyFont="1" applyFill="1" applyBorder="1" applyAlignment="1" applyProtection="1">
      <alignment wrapText="1"/>
      <protection locked="0"/>
    </xf>
    <xf numFmtId="3" fontId="21" fillId="0" borderId="1" xfId="0" applyNumberFormat="1" applyFont="1" applyFill="1" applyBorder="1" applyAlignment="1" applyProtection="1">
      <alignment horizontal="center" wrapText="1"/>
      <protection locked="0"/>
    </xf>
    <xf numFmtId="0" fontId="21" fillId="0" borderId="1" xfId="0" applyFont="1" applyFill="1" applyBorder="1" applyAlignment="1">
      <alignment vertical="top" wrapText="1"/>
    </xf>
    <xf numFmtId="0" fontId="21" fillId="0" borderId="1" xfId="0" applyFont="1" applyFill="1" applyBorder="1"/>
    <xf numFmtId="1" fontId="21" fillId="0" borderId="1" xfId="0" applyNumberFormat="1" applyFont="1" applyFill="1" applyBorder="1"/>
    <xf numFmtId="2" fontId="21" fillId="0" borderId="1" xfId="0" applyNumberFormat="1" applyFont="1" applyFill="1" applyBorder="1"/>
    <xf numFmtId="0" fontId="21" fillId="0" borderId="1" xfId="0" applyFont="1" applyBorder="1" applyAlignment="1">
      <alignment wrapText="1"/>
    </xf>
    <xf numFmtId="164" fontId="21" fillId="0" borderId="1" xfId="0" applyNumberFormat="1" applyFont="1" applyFill="1" applyBorder="1"/>
    <xf numFmtId="0" fontId="21" fillId="0" borderId="1" xfId="0" applyFont="1" applyFill="1" applyBorder="1" applyAlignment="1"/>
    <xf numFmtId="2" fontId="22" fillId="0" borderId="1" xfId="0" applyNumberFormat="1" applyFont="1" applyFill="1" applyBorder="1"/>
    <xf numFmtId="0" fontId="22" fillId="0" borderId="1" xfId="0" applyFont="1" applyFill="1" applyBorder="1"/>
    <xf numFmtId="0" fontId="22" fillId="0" borderId="0" xfId="0" applyFont="1" applyFill="1" applyAlignment="1">
      <alignment horizontal="center"/>
    </xf>
    <xf numFmtId="164" fontId="21" fillId="0" borderId="1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 wrapText="1"/>
    </xf>
    <xf numFmtId="0" fontId="21" fillId="0" borderId="30" xfId="0" applyNumberFormat="1" applyFont="1" applyFill="1" applyBorder="1" applyAlignment="1" applyProtection="1">
      <alignment horizontal="left" wrapText="1"/>
    </xf>
    <xf numFmtId="0" fontId="21" fillId="0" borderId="1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justify"/>
    </xf>
    <xf numFmtId="0" fontId="21" fillId="0" borderId="1" xfId="0" applyFont="1" applyFill="1" applyBorder="1" applyAlignment="1">
      <alignment horizontal="center" wrapText="1"/>
    </xf>
    <xf numFmtId="164" fontId="21" fillId="0" borderId="1" xfId="0" applyNumberFormat="1" applyFont="1" applyFill="1" applyBorder="1" applyAlignment="1"/>
    <xf numFmtId="0" fontId="21" fillId="0" borderId="1" xfId="0" applyFont="1" applyFill="1" applyBorder="1" applyAlignment="1">
      <alignment horizontal="right"/>
    </xf>
    <xf numFmtId="0" fontId="21" fillId="0" borderId="2" xfId="0" applyFont="1" applyFill="1" applyBorder="1" applyAlignment="1">
      <alignment horizontal="center" wrapText="1"/>
    </xf>
    <xf numFmtId="0" fontId="21" fillId="0" borderId="2" xfId="0" applyFont="1" applyFill="1" applyBorder="1" applyAlignment="1">
      <alignment horizontal="center"/>
    </xf>
    <xf numFmtId="1" fontId="21" fillId="0" borderId="1" xfId="0" applyNumberFormat="1" applyFont="1" applyFill="1" applyBorder="1" applyAlignment="1"/>
    <xf numFmtId="2" fontId="21" fillId="0" borderId="1" xfId="0" applyNumberFormat="1" applyFont="1" applyFill="1" applyBorder="1" applyAlignment="1"/>
    <xf numFmtId="0" fontId="23" fillId="4" borderId="0" xfId="0" applyFont="1" applyFill="1"/>
    <xf numFmtId="0" fontId="26" fillId="4" borderId="0" xfId="0" applyFont="1" applyFill="1"/>
    <xf numFmtId="0" fontId="12" fillId="4" borderId="0" xfId="0" applyFont="1" applyFill="1"/>
    <xf numFmtId="0" fontId="27" fillId="4" borderId="1" xfId="0" applyFont="1" applyFill="1" applyBorder="1"/>
    <xf numFmtId="0" fontId="27" fillId="4" borderId="1" xfId="0" applyFont="1" applyFill="1" applyBorder="1" applyAlignment="1">
      <alignment horizontal="center"/>
    </xf>
    <xf numFmtId="164" fontId="28" fillId="4" borderId="1" xfId="0" applyNumberFormat="1" applyFont="1" applyFill="1" applyBorder="1" applyAlignment="1">
      <alignment horizontal="center"/>
    </xf>
    <xf numFmtId="166" fontId="28" fillId="4" borderId="1" xfId="0" applyNumberFormat="1" applyFont="1" applyFill="1" applyBorder="1" applyAlignment="1">
      <alignment horizontal="center"/>
    </xf>
    <xf numFmtId="164" fontId="29" fillId="4" borderId="1" xfId="0" applyNumberFormat="1" applyFont="1" applyFill="1" applyBorder="1" applyAlignment="1">
      <alignment horizontal="center"/>
    </xf>
    <xf numFmtId="0" fontId="30" fillId="4" borderId="1" xfId="0" applyFont="1" applyFill="1" applyBorder="1" applyAlignment="1">
      <alignment horizontal="center"/>
    </xf>
    <xf numFmtId="164" fontId="30" fillId="4" borderId="1" xfId="0" applyNumberFormat="1" applyFont="1" applyFill="1" applyBorder="1" applyAlignment="1">
      <alignment horizontal="center"/>
    </xf>
    <xf numFmtId="0" fontId="27" fillId="4" borderId="10" xfId="0" applyFont="1" applyFill="1" applyBorder="1"/>
    <xf numFmtId="0" fontId="27" fillId="4" borderId="3" xfId="0" applyFont="1" applyFill="1" applyBorder="1"/>
    <xf numFmtId="166" fontId="31" fillId="4" borderId="1" xfId="0" applyNumberFormat="1" applyFont="1" applyFill="1" applyBorder="1" applyAlignment="1">
      <alignment horizontal="center"/>
    </xf>
    <xf numFmtId="0" fontId="27" fillId="4" borderId="1" xfId="0" applyFont="1" applyFill="1" applyBorder="1" applyAlignment="1">
      <alignment horizontal="center" vertical="top"/>
    </xf>
    <xf numFmtId="164" fontId="28" fillId="4" borderId="1" xfId="0" applyNumberFormat="1" applyFont="1" applyFill="1" applyBorder="1" applyAlignment="1">
      <alignment horizontal="center" vertical="center"/>
    </xf>
    <xf numFmtId="166" fontId="28" fillId="4" borderId="1" xfId="0" applyNumberFormat="1" applyFont="1" applyFill="1" applyBorder="1" applyAlignment="1">
      <alignment horizontal="center" vertical="center"/>
    </xf>
    <xf numFmtId="166" fontId="30" fillId="4" borderId="1" xfId="0" applyNumberFormat="1" applyFont="1" applyFill="1" applyBorder="1" applyAlignment="1">
      <alignment vertical="center"/>
    </xf>
    <xf numFmtId="164" fontId="30" fillId="4" borderId="1" xfId="0" applyNumberFormat="1" applyFont="1" applyFill="1" applyBorder="1" applyAlignment="1">
      <alignment vertical="center"/>
    </xf>
    <xf numFmtId="0" fontId="30" fillId="4" borderId="1" xfId="0" applyFont="1" applyFill="1" applyBorder="1" applyAlignment="1">
      <alignment vertical="center"/>
    </xf>
    <xf numFmtId="164" fontId="28" fillId="4" borderId="1" xfId="0" applyNumberFormat="1" applyFont="1" applyFill="1" applyBorder="1" applyAlignment="1">
      <alignment vertical="center"/>
    </xf>
    <xf numFmtId="164" fontId="30" fillId="4" borderId="1" xfId="0" applyNumberFormat="1" applyFont="1" applyFill="1" applyBorder="1" applyAlignment="1">
      <alignment horizontal="center" vertical="top"/>
    </xf>
    <xf numFmtId="0" fontId="30" fillId="4" borderId="1" xfId="0" applyFont="1" applyFill="1" applyBorder="1" applyAlignment="1">
      <alignment horizontal="center" vertical="top"/>
    </xf>
    <xf numFmtId="0" fontId="27" fillId="4" borderId="10" xfId="0" applyFont="1" applyFill="1" applyBorder="1" applyAlignment="1">
      <alignment horizontal="left" vertical="top"/>
    </xf>
    <xf numFmtId="0" fontId="27" fillId="4" borderId="3" xfId="0" applyFont="1" applyFill="1" applyBorder="1" applyAlignment="1">
      <alignment horizontal="left" vertical="top"/>
    </xf>
    <xf numFmtId="0" fontId="30" fillId="4" borderId="1" xfId="0" applyFont="1" applyFill="1" applyBorder="1" applyAlignment="1">
      <alignment horizontal="center" vertical="center"/>
    </xf>
    <xf numFmtId="166" fontId="30" fillId="4" borderId="1" xfId="0" applyNumberFormat="1" applyFont="1" applyFill="1" applyBorder="1" applyAlignment="1">
      <alignment horizontal="center" vertical="center"/>
    </xf>
    <xf numFmtId="164" fontId="30" fillId="4" borderId="1" xfId="0" applyNumberFormat="1" applyFont="1" applyFill="1" applyBorder="1" applyAlignment="1">
      <alignment horizontal="center" vertical="center"/>
    </xf>
    <xf numFmtId="0" fontId="27" fillId="4" borderId="1" xfId="0" applyFont="1" applyFill="1" applyBorder="1" applyAlignment="1">
      <alignment horizontal="center" vertical="center"/>
    </xf>
    <xf numFmtId="0" fontId="27" fillId="4" borderId="0" xfId="0" applyFont="1" applyFill="1" applyAlignment="1">
      <alignment horizontal="center"/>
    </xf>
    <xf numFmtId="1" fontId="27" fillId="4" borderId="1" xfId="0" applyNumberFormat="1" applyFont="1" applyFill="1" applyBorder="1" applyAlignment="1">
      <alignment horizontal="center"/>
    </xf>
    <xf numFmtId="164" fontId="27" fillId="4" borderId="1" xfId="0" applyNumberFormat="1" applyFont="1" applyFill="1" applyBorder="1" applyAlignment="1">
      <alignment horizontal="center"/>
    </xf>
    <xf numFmtId="0" fontId="27" fillId="4" borderId="0" xfId="0" applyFont="1" applyFill="1"/>
    <xf numFmtId="164" fontId="27" fillId="4" borderId="0" xfId="0" applyNumberFormat="1" applyFont="1" applyFill="1" applyAlignment="1">
      <alignment horizontal="center"/>
    </xf>
    <xf numFmtId="164" fontId="30" fillId="4" borderId="0" xfId="0" applyNumberFormat="1" applyFont="1" applyFill="1" applyAlignment="1">
      <alignment horizontal="center"/>
    </xf>
    <xf numFmtId="164" fontId="12" fillId="4" borderId="0" xfId="0" applyNumberFormat="1" applyFont="1" applyFill="1"/>
    <xf numFmtId="164" fontId="27" fillId="4" borderId="0" xfId="0" applyNumberFormat="1" applyFont="1" applyFill="1"/>
    <xf numFmtId="0" fontId="0" fillId="4" borderId="0" xfId="0" applyFill="1"/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15" fillId="0" borderId="0" xfId="0" applyFont="1" applyBorder="1" applyAlignment="1">
      <alignment horizontal="left" wrapText="1"/>
    </xf>
    <xf numFmtId="0" fontId="6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2" wrapText="1"/>
    </xf>
    <xf numFmtId="0" fontId="1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/>
    </xf>
    <xf numFmtId="0" fontId="3" fillId="0" borderId="9" xfId="0" applyFont="1" applyBorder="1" applyAlignment="1">
      <alignment horizontal="center"/>
    </xf>
    <xf numFmtId="0" fontId="22" fillId="0" borderId="0" xfId="0" applyFont="1" applyFill="1" applyAlignment="1">
      <alignment horizontal="center"/>
    </xf>
    <xf numFmtId="0" fontId="22" fillId="0" borderId="0" xfId="0" applyFont="1" applyFill="1" applyAlignment="1">
      <alignment horizontal="left" wrapText="1"/>
    </xf>
    <xf numFmtId="0" fontId="22" fillId="0" borderId="0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/>
    </xf>
    <xf numFmtId="0" fontId="22" fillId="0" borderId="10" xfId="0" applyFont="1" applyFill="1" applyBorder="1" applyAlignment="1">
      <alignment horizontal="center"/>
    </xf>
    <xf numFmtId="0" fontId="22" fillId="0" borderId="11" xfId="0" applyFont="1" applyFill="1" applyBorder="1" applyAlignment="1">
      <alignment horizontal="center"/>
    </xf>
    <xf numFmtId="0" fontId="22" fillId="0" borderId="3" xfId="0" applyFont="1" applyFill="1" applyBorder="1" applyAlignment="1">
      <alignment horizontal="center"/>
    </xf>
    <xf numFmtId="0" fontId="27" fillId="4" borderId="10" xfId="0" applyFont="1" applyFill="1" applyBorder="1"/>
    <xf numFmtId="0" fontId="27" fillId="4" borderId="3" xfId="0" applyFont="1" applyFill="1" applyBorder="1"/>
    <xf numFmtId="0" fontId="27" fillId="4" borderId="11" xfId="0" applyFont="1" applyFill="1" applyBorder="1" applyAlignment="1">
      <alignment horizontal="center"/>
    </xf>
    <xf numFmtId="164" fontId="27" fillId="4" borderId="10" xfId="0" applyNumberFormat="1" applyFont="1" applyFill="1" applyBorder="1" applyAlignment="1">
      <alignment horizontal="center" vertical="top"/>
    </xf>
    <xf numFmtId="164" fontId="27" fillId="4" borderId="3" xfId="0" applyNumberFormat="1" applyFont="1" applyFill="1" applyBorder="1" applyAlignment="1">
      <alignment horizontal="center" vertical="top"/>
    </xf>
    <xf numFmtId="0" fontId="27" fillId="4" borderId="10" xfId="0" applyFont="1" applyFill="1" applyBorder="1" applyAlignment="1">
      <alignment horizontal="center" vertical="top"/>
    </xf>
    <xf numFmtId="0" fontId="27" fillId="4" borderId="3" xfId="0" applyFont="1" applyFill="1" applyBorder="1" applyAlignment="1">
      <alignment horizontal="center" vertical="top"/>
    </xf>
    <xf numFmtId="0" fontId="27" fillId="4" borderId="10" xfId="0" applyFont="1" applyFill="1" applyBorder="1" applyAlignment="1">
      <alignment horizontal="left" vertical="top" wrapText="1"/>
    </xf>
    <xf numFmtId="0" fontId="27" fillId="4" borderId="3" xfId="0" applyFont="1" applyFill="1" applyBorder="1" applyAlignment="1">
      <alignment horizontal="left" vertical="top" wrapText="1"/>
    </xf>
    <xf numFmtId="0" fontId="27" fillId="4" borderId="10" xfId="0" applyFont="1" applyFill="1" applyBorder="1" applyAlignment="1">
      <alignment horizontal="left" vertical="top"/>
    </xf>
    <xf numFmtId="0" fontId="27" fillId="4" borderId="3" xfId="0" applyFont="1" applyFill="1" applyBorder="1" applyAlignment="1">
      <alignment horizontal="left" vertical="top"/>
    </xf>
    <xf numFmtId="0" fontId="27" fillId="4" borderId="10" xfId="0" applyFont="1" applyFill="1" applyBorder="1" applyAlignment="1">
      <alignment horizontal="center" wrapText="1"/>
    </xf>
    <xf numFmtId="0" fontId="27" fillId="4" borderId="3" xfId="0" applyFont="1" applyFill="1" applyBorder="1" applyAlignment="1">
      <alignment horizontal="center" wrapText="1"/>
    </xf>
    <xf numFmtId="0" fontId="27" fillId="4" borderId="10" xfId="0" applyFont="1" applyFill="1" applyBorder="1" applyAlignment="1">
      <alignment horizontal="center" vertical="center" wrapText="1"/>
    </xf>
    <xf numFmtId="0" fontId="27" fillId="4" borderId="3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/>
    </xf>
    <xf numFmtId="0" fontId="24" fillId="4" borderId="0" xfId="0" applyFont="1" applyFill="1" applyAlignment="1">
      <alignment horizontal="center"/>
    </xf>
    <xf numFmtId="0" fontId="25" fillId="4" borderId="0" xfId="0" applyFont="1" applyFill="1" applyAlignment="1">
      <alignment horizontal="center"/>
    </xf>
    <xf numFmtId="0" fontId="12" fillId="4" borderId="0" xfId="0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6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6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5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5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5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5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5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6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6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6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6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6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6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1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1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1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1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1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1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1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1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1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1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3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3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4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4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5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5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5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5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5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6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6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7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7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7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7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7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7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7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7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7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7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8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8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8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8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8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8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86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87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88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89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90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92</xdr:row>
      <xdr:rowOff>137160</xdr:rowOff>
    </xdr:to>
    <xdr:sp macro="" textlink="">
      <xdr:nvSpPr>
        <xdr:cNvPr id="209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92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93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94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95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96" name="AutoShape 14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97" name="AutoShape 14"/>
        <xdr:cNvSpPr>
          <a:spLocks noChangeArrowheads="1"/>
        </xdr:cNvSpPr>
      </xdr:nvSpPr>
      <xdr:spPr bwMode="auto">
        <a:xfrm>
          <a:off x="0" y="0"/>
          <a:ext cx="7620000" cy="725424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98" name="AutoShape 14"/>
        <xdr:cNvSpPr>
          <a:spLocks noChangeArrowheads="1"/>
        </xdr:cNvSpPr>
      </xdr:nvSpPr>
      <xdr:spPr bwMode="auto">
        <a:xfrm>
          <a:off x="0" y="0"/>
          <a:ext cx="7620000" cy="725424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099" name="AutoShape 14"/>
        <xdr:cNvSpPr>
          <a:spLocks noChangeArrowheads="1"/>
        </xdr:cNvSpPr>
      </xdr:nvSpPr>
      <xdr:spPr bwMode="auto">
        <a:xfrm>
          <a:off x="0" y="0"/>
          <a:ext cx="7620000" cy="725424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100" name="AutoShape 14"/>
        <xdr:cNvSpPr>
          <a:spLocks noChangeArrowheads="1"/>
        </xdr:cNvSpPr>
      </xdr:nvSpPr>
      <xdr:spPr bwMode="auto">
        <a:xfrm>
          <a:off x="0" y="0"/>
          <a:ext cx="7620000" cy="725424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101" name="AutoShape 14"/>
        <xdr:cNvSpPr>
          <a:spLocks noChangeArrowheads="1"/>
        </xdr:cNvSpPr>
      </xdr:nvSpPr>
      <xdr:spPr bwMode="auto">
        <a:xfrm>
          <a:off x="0" y="0"/>
          <a:ext cx="7620000" cy="725424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205740</xdr:colOff>
      <xdr:row>41</xdr:row>
      <xdr:rowOff>137160</xdr:rowOff>
    </xdr:to>
    <xdr:sp macro="" textlink="">
      <xdr:nvSpPr>
        <xdr:cNvPr id="2102" name="AutoShape 14"/>
        <xdr:cNvSpPr>
          <a:spLocks noChangeArrowheads="1"/>
        </xdr:cNvSpPr>
      </xdr:nvSpPr>
      <xdr:spPr bwMode="auto">
        <a:xfrm>
          <a:off x="0" y="0"/>
          <a:ext cx="7620000" cy="725424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251460</xdr:colOff>
      <xdr:row>42</xdr:row>
      <xdr:rowOff>655320</xdr:rowOff>
    </xdr:to>
    <xdr:sp macro="" textlink="">
      <xdr:nvSpPr>
        <xdr:cNvPr id="2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251460</xdr:colOff>
      <xdr:row>42</xdr:row>
      <xdr:rowOff>655320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251460</xdr:colOff>
      <xdr:row>42</xdr:row>
      <xdr:rowOff>655320</xdr:rowOff>
    </xdr:to>
    <xdr:sp macro="" textlink="">
      <xdr:nvSpPr>
        <xdr:cNvPr id="4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251460</xdr:colOff>
      <xdr:row>42</xdr:row>
      <xdr:rowOff>655320</xdr:rowOff>
    </xdr:to>
    <xdr:sp macro="" textlink="">
      <xdr:nvSpPr>
        <xdr:cNvPr id="5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251460</xdr:colOff>
      <xdr:row>42</xdr:row>
      <xdr:rowOff>655320</xdr:rowOff>
    </xdr:to>
    <xdr:sp macro="" textlink="">
      <xdr:nvSpPr>
        <xdr:cNvPr id="6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251460</xdr:colOff>
      <xdr:row>42</xdr:row>
      <xdr:rowOff>655320</xdr:rowOff>
    </xdr:to>
    <xdr:sp macro="" textlink="">
      <xdr:nvSpPr>
        <xdr:cNvPr id="7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251460</xdr:colOff>
      <xdr:row>42</xdr:row>
      <xdr:rowOff>655320</xdr:rowOff>
    </xdr:to>
    <xdr:sp macro="" textlink="">
      <xdr:nvSpPr>
        <xdr:cNvPr id="8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251460</xdr:colOff>
      <xdr:row>42</xdr:row>
      <xdr:rowOff>655320</xdr:rowOff>
    </xdr:to>
    <xdr:sp macro="" textlink="">
      <xdr:nvSpPr>
        <xdr:cNvPr id="9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251460</xdr:colOff>
      <xdr:row>42</xdr:row>
      <xdr:rowOff>655320</xdr:rowOff>
    </xdr:to>
    <xdr:sp macro="" textlink="">
      <xdr:nvSpPr>
        <xdr:cNvPr id="10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251460</xdr:colOff>
      <xdr:row>42</xdr:row>
      <xdr:rowOff>655320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>
          <a:off x="0" y="0"/>
          <a:ext cx="7620000" cy="7620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M74"/>
  <sheetViews>
    <sheetView view="pageBreakPreview" topLeftCell="A43" zoomScaleNormal="120" zoomScaleSheetLayoutView="100" workbookViewId="0">
      <selection activeCell="O76" sqref="O76"/>
    </sheetView>
  </sheetViews>
  <sheetFormatPr defaultRowHeight="15" x14ac:dyDescent="0.25"/>
  <cols>
    <col min="1" max="1" width="20.140625" style="1" customWidth="1"/>
    <col min="2" max="2" width="10.5703125" style="1" customWidth="1"/>
    <col min="3" max="3" width="9.28515625" style="1" customWidth="1"/>
    <col min="4" max="4" width="8.28515625" style="1" customWidth="1"/>
    <col min="5" max="5" width="7.28515625" style="1" customWidth="1"/>
    <col min="6" max="6" width="7.5703125" style="1" customWidth="1"/>
    <col min="7" max="7" width="6.85546875" style="1" customWidth="1"/>
    <col min="8" max="8" width="6.7109375" style="1" hidden="1" customWidth="1"/>
    <col min="9" max="9" width="6.42578125" style="1" hidden="1" customWidth="1"/>
    <col min="10" max="10" width="7" style="1" customWidth="1"/>
    <col min="11" max="11" width="9.7109375" style="1" customWidth="1"/>
    <col min="12" max="12" width="5" style="1" hidden="1" customWidth="1"/>
    <col min="13" max="13" width="6.140625" style="1" hidden="1" customWidth="1"/>
    <col min="14" max="14" width="8.140625" style="65" customWidth="1"/>
    <col min="15" max="15" width="7.7109375" style="1" customWidth="1"/>
    <col min="16" max="16" width="7.28515625" style="1" customWidth="1"/>
    <col min="17" max="17" width="6.7109375" style="65" customWidth="1"/>
    <col min="18" max="18" width="8.5703125" style="1" customWidth="1"/>
    <col min="19" max="19" width="7.85546875" style="65" customWidth="1"/>
    <col min="20" max="21" width="6.7109375" style="1" customWidth="1"/>
    <col min="22" max="22" width="6.7109375" style="65" customWidth="1"/>
    <col min="23" max="23" width="7" style="1" hidden="1" customWidth="1"/>
    <col min="24" max="25" width="8" style="1" customWidth="1"/>
    <col min="26" max="26" width="6.7109375" style="1" customWidth="1"/>
    <col min="27" max="27" width="6.42578125" style="1" customWidth="1"/>
    <col min="28" max="28" width="8.7109375" style="1" customWidth="1"/>
    <col min="29" max="29" width="7.7109375" style="1" customWidth="1"/>
    <col min="30" max="30" width="7.28515625" style="65" customWidth="1"/>
    <col min="31" max="32" width="6.42578125" style="1" customWidth="1"/>
    <col min="33" max="33" width="7.140625" style="1" customWidth="1"/>
    <col min="34" max="34" width="12.28515625" style="1" customWidth="1"/>
    <col min="35" max="35" width="10.42578125" style="1" customWidth="1"/>
    <col min="36" max="37" width="7.28515625" style="1" customWidth="1"/>
    <col min="38" max="38" width="8.5703125" style="1" customWidth="1"/>
    <col min="39" max="39" width="8.140625" style="1" customWidth="1"/>
    <col min="40" max="40" width="10.140625" style="1" customWidth="1"/>
    <col min="41" max="41" width="12" style="1" customWidth="1"/>
    <col min="42" max="42" width="8" style="1" customWidth="1"/>
    <col min="43" max="258" width="7.5703125" style="1" customWidth="1"/>
    <col min="259" max="259" width="21.85546875" style="1" customWidth="1"/>
    <col min="260" max="260" width="10" style="1" customWidth="1"/>
    <col min="261" max="261" width="9.85546875" style="1" customWidth="1"/>
    <col min="262" max="262" width="9.28515625" style="1" customWidth="1"/>
    <col min="263" max="263" width="7.28515625" style="1" customWidth="1"/>
    <col min="264" max="264" width="8.28515625" style="1" customWidth="1"/>
    <col min="265" max="265" width="8" style="1" customWidth="1"/>
    <col min="266" max="267" width="11.5703125" style="1" hidden="1"/>
    <col min="268" max="268" width="7" style="1" customWidth="1"/>
    <col min="269" max="269" width="7.85546875" style="1" customWidth="1"/>
    <col min="270" max="271" width="11.5703125" style="1" hidden="1"/>
    <col min="272" max="272" width="8.140625" style="1" customWidth="1"/>
    <col min="273" max="273" width="6.42578125" style="1" customWidth="1"/>
    <col min="274" max="274" width="7.7109375" style="1" customWidth="1"/>
    <col min="275" max="275" width="6.7109375" style="1" customWidth="1"/>
    <col min="276" max="276" width="8.5703125" style="1" customWidth="1"/>
    <col min="277" max="277" width="7.85546875" style="1" customWidth="1"/>
    <col min="278" max="280" width="6.7109375" style="1" customWidth="1"/>
    <col min="281" max="281" width="7" style="1" customWidth="1"/>
    <col min="282" max="283" width="6.7109375" style="1" customWidth="1"/>
    <col min="284" max="284" width="6.42578125" style="1" customWidth="1"/>
    <col min="285" max="286" width="8.7109375" style="1" customWidth="1"/>
    <col min="287" max="287" width="7.42578125" style="1" customWidth="1"/>
    <col min="288" max="288" width="6.7109375" style="1" customWidth="1"/>
    <col min="289" max="289" width="8" style="1" customWidth="1"/>
    <col min="290" max="290" width="18" style="1" customWidth="1"/>
    <col min="291" max="291" width="12.140625" style="1" customWidth="1"/>
    <col min="292" max="292" width="17.5703125" style="1" customWidth="1"/>
    <col min="293" max="293" width="9.5703125" style="1" customWidth="1"/>
    <col min="294" max="294" width="12.140625" style="1" customWidth="1"/>
    <col min="295" max="295" width="10.28515625" style="1" customWidth="1"/>
    <col min="296" max="296" width="10.140625" style="1" customWidth="1"/>
    <col min="297" max="297" width="12" style="1" customWidth="1"/>
    <col min="298" max="298" width="8" style="1" customWidth="1"/>
    <col min="299" max="514" width="7.5703125" style="1" customWidth="1"/>
    <col min="515" max="515" width="21.85546875" style="1" customWidth="1"/>
    <col min="516" max="516" width="10" style="1" customWidth="1"/>
    <col min="517" max="517" width="9.85546875" style="1" customWidth="1"/>
    <col min="518" max="518" width="9.28515625" style="1" customWidth="1"/>
    <col min="519" max="519" width="7.28515625" style="1" customWidth="1"/>
    <col min="520" max="520" width="8.28515625" style="1" customWidth="1"/>
    <col min="521" max="521" width="8" style="1" customWidth="1"/>
    <col min="522" max="523" width="11.5703125" style="1" hidden="1"/>
    <col min="524" max="524" width="7" style="1" customWidth="1"/>
    <col min="525" max="525" width="7.85546875" style="1" customWidth="1"/>
    <col min="526" max="527" width="11.5703125" style="1" hidden="1"/>
    <col min="528" max="528" width="8.140625" style="1" customWidth="1"/>
    <col min="529" max="529" width="6.42578125" style="1" customWidth="1"/>
    <col min="530" max="530" width="7.7109375" style="1" customWidth="1"/>
    <col min="531" max="531" width="6.7109375" style="1" customWidth="1"/>
    <col min="532" max="532" width="8.5703125" style="1" customWidth="1"/>
    <col min="533" max="533" width="7.85546875" style="1" customWidth="1"/>
    <col min="534" max="536" width="6.7109375" style="1" customWidth="1"/>
    <col min="537" max="537" width="7" style="1" customWidth="1"/>
    <col min="538" max="539" width="6.7109375" style="1" customWidth="1"/>
    <col min="540" max="540" width="6.42578125" style="1" customWidth="1"/>
    <col min="541" max="542" width="8.7109375" style="1" customWidth="1"/>
    <col min="543" max="543" width="7.42578125" style="1" customWidth="1"/>
    <col min="544" max="544" width="6.7109375" style="1" customWidth="1"/>
    <col min="545" max="545" width="8" style="1" customWidth="1"/>
    <col min="546" max="546" width="18" style="1" customWidth="1"/>
    <col min="547" max="547" width="12.140625" style="1" customWidth="1"/>
    <col min="548" max="548" width="17.5703125" style="1" customWidth="1"/>
    <col min="549" max="549" width="9.5703125" style="1" customWidth="1"/>
    <col min="550" max="550" width="12.140625" style="1" customWidth="1"/>
    <col min="551" max="551" width="10.28515625" style="1" customWidth="1"/>
    <col min="552" max="552" width="10.140625" style="1" customWidth="1"/>
    <col min="553" max="553" width="12" style="1" customWidth="1"/>
    <col min="554" max="554" width="8" style="1" customWidth="1"/>
    <col min="555" max="770" width="7.5703125" style="1" customWidth="1"/>
    <col min="771" max="771" width="21.85546875" style="1" customWidth="1"/>
    <col min="772" max="772" width="10" style="1" customWidth="1"/>
    <col min="773" max="773" width="9.85546875" style="1" customWidth="1"/>
    <col min="774" max="774" width="9.28515625" style="1" customWidth="1"/>
    <col min="775" max="775" width="7.28515625" style="1" customWidth="1"/>
    <col min="776" max="776" width="8.28515625" style="1" customWidth="1"/>
    <col min="777" max="777" width="8" style="1" customWidth="1"/>
    <col min="778" max="779" width="11.5703125" style="1" hidden="1"/>
    <col min="780" max="780" width="7" style="1" customWidth="1"/>
    <col min="781" max="781" width="7.85546875" style="1" customWidth="1"/>
    <col min="782" max="783" width="11.5703125" style="1" hidden="1"/>
    <col min="784" max="784" width="8.140625" style="1" customWidth="1"/>
    <col min="785" max="785" width="6.42578125" style="1" customWidth="1"/>
    <col min="786" max="786" width="7.7109375" style="1" customWidth="1"/>
    <col min="787" max="787" width="6.7109375" style="1" customWidth="1"/>
    <col min="788" max="788" width="8.5703125" style="1" customWidth="1"/>
    <col min="789" max="789" width="7.85546875" style="1" customWidth="1"/>
    <col min="790" max="792" width="6.7109375" style="1" customWidth="1"/>
    <col min="793" max="793" width="7" style="1" customWidth="1"/>
    <col min="794" max="795" width="6.7109375" style="1" customWidth="1"/>
    <col min="796" max="796" width="6.42578125" style="1" customWidth="1"/>
    <col min="797" max="798" width="8.7109375" style="1" customWidth="1"/>
    <col min="799" max="799" width="7.42578125" style="1" customWidth="1"/>
    <col min="800" max="800" width="6.7109375" style="1" customWidth="1"/>
    <col min="801" max="801" width="8" style="1" customWidth="1"/>
    <col min="802" max="802" width="18" style="1" customWidth="1"/>
    <col min="803" max="803" width="12.140625" style="1" customWidth="1"/>
    <col min="804" max="804" width="17.5703125" style="1" customWidth="1"/>
    <col min="805" max="805" width="9.5703125" style="1" customWidth="1"/>
    <col min="806" max="806" width="12.140625" style="1" customWidth="1"/>
    <col min="807" max="807" width="10.28515625" style="1" customWidth="1"/>
    <col min="808" max="808" width="10.140625" style="1" customWidth="1"/>
    <col min="809" max="809" width="12" style="1" customWidth="1"/>
    <col min="810" max="810" width="8" style="1" customWidth="1"/>
    <col min="811" max="1027" width="7.5703125" style="1" customWidth="1"/>
  </cols>
  <sheetData>
    <row r="1" spans="1:37" x14ac:dyDescent="0.25">
      <c r="A1" s="161" t="s">
        <v>76</v>
      </c>
      <c r="B1" s="161"/>
      <c r="C1" s="161"/>
      <c r="D1" s="161"/>
    </row>
    <row r="2" spans="1:37" ht="12" customHeight="1" x14ac:dyDescent="0.25">
      <c r="A2" s="161" t="s">
        <v>77</v>
      </c>
      <c r="B2" s="161"/>
      <c r="C2" s="161"/>
      <c r="D2" s="161"/>
      <c r="W2" s="2"/>
      <c r="Z2" s="165" t="s">
        <v>129</v>
      </c>
      <c r="AA2" s="165"/>
      <c r="AB2" s="165"/>
      <c r="AC2" s="165"/>
      <c r="AD2" s="165"/>
      <c r="AE2" s="165"/>
      <c r="AF2" s="165"/>
      <c r="AG2" s="165"/>
    </row>
    <row r="3" spans="1:37" x14ac:dyDescent="0.25">
      <c r="A3" s="161" t="s">
        <v>78</v>
      </c>
      <c r="B3" s="161"/>
      <c r="C3" s="161"/>
      <c r="D3" s="161"/>
      <c r="Z3" s="165"/>
      <c r="AA3" s="165"/>
      <c r="AB3" s="165"/>
      <c r="AC3" s="165"/>
      <c r="AD3" s="165"/>
      <c r="AE3" s="165"/>
      <c r="AF3" s="165"/>
      <c r="AG3" s="165"/>
    </row>
    <row r="4" spans="1:37" x14ac:dyDescent="0.25">
      <c r="A4" s="161"/>
      <c r="B4" s="161"/>
      <c r="C4" s="161"/>
      <c r="D4" s="161"/>
      <c r="E4" s="161"/>
      <c r="AA4" s="3"/>
      <c r="AB4" s="3"/>
      <c r="AC4" s="3"/>
      <c r="AD4" s="66"/>
    </row>
    <row r="5" spans="1:37" x14ac:dyDescent="0.25">
      <c r="A5" s="3" t="s">
        <v>105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66"/>
      <c r="O5" s="3"/>
      <c r="P5" s="3"/>
      <c r="Q5" s="66"/>
      <c r="R5" s="3"/>
      <c r="S5" s="66"/>
      <c r="T5" s="3"/>
      <c r="U5" s="3"/>
      <c r="V5" s="66"/>
      <c r="W5" s="3"/>
      <c r="X5" s="3"/>
      <c r="Y5" s="3"/>
      <c r="Z5" s="3"/>
      <c r="AA5" s="3"/>
      <c r="AB5" s="3"/>
      <c r="AC5" s="3"/>
      <c r="AD5" s="66"/>
      <c r="AE5" s="3"/>
      <c r="AF5" s="3"/>
      <c r="AG5" s="3"/>
      <c r="AH5" s="3"/>
    </row>
    <row r="6" spans="1:37" x14ac:dyDescent="0.25">
      <c r="A6" s="161" t="s">
        <v>106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4"/>
      <c r="AC6" s="4"/>
      <c r="AD6" s="76"/>
      <c r="AE6" s="4"/>
      <c r="AF6" s="4"/>
      <c r="AG6" s="4"/>
      <c r="AH6" s="4"/>
    </row>
    <row r="7" spans="1:37" x14ac:dyDescent="0.25">
      <c r="A7" s="24">
        <f>288819-B13</f>
        <v>0</v>
      </c>
      <c r="B7" s="24"/>
      <c r="C7" s="24">
        <f>C13-AB13</f>
        <v>221242.59999999998</v>
      </c>
      <c r="D7" s="24">
        <f>C7-116581</f>
        <v>104661.59999999998</v>
      </c>
      <c r="E7" s="24"/>
      <c r="F7" s="24"/>
      <c r="G7" s="24"/>
      <c r="H7" s="2"/>
      <c r="I7" s="2"/>
      <c r="J7" s="24"/>
      <c r="K7" s="24"/>
      <c r="L7" s="2"/>
      <c r="M7" s="2"/>
      <c r="N7" s="67"/>
      <c r="O7" s="2"/>
      <c r="P7" s="24"/>
      <c r="Q7" s="77"/>
      <c r="R7" s="24"/>
      <c r="S7" s="77"/>
      <c r="T7" s="24"/>
      <c r="U7" s="24"/>
      <c r="V7" s="77"/>
      <c r="W7" s="24"/>
      <c r="X7" s="24"/>
      <c r="Y7" s="24"/>
      <c r="Z7" s="24"/>
      <c r="AA7" s="24"/>
      <c r="AB7" s="24"/>
      <c r="AC7" s="24"/>
      <c r="AD7" s="77"/>
      <c r="AE7" s="2"/>
      <c r="AF7" s="2"/>
      <c r="AG7" s="24"/>
      <c r="AH7" s="5"/>
    </row>
    <row r="8" spans="1:37" ht="12" customHeight="1" x14ac:dyDescent="0.25">
      <c r="A8" s="162" t="s">
        <v>0</v>
      </c>
      <c r="B8" s="163" t="s">
        <v>1</v>
      </c>
      <c r="C8" s="163" t="s">
        <v>2</v>
      </c>
      <c r="D8" s="164" t="s">
        <v>3</v>
      </c>
      <c r="E8" s="164" t="s">
        <v>4</v>
      </c>
      <c r="F8" s="164" t="s">
        <v>5</v>
      </c>
      <c r="G8" s="164" t="s">
        <v>6</v>
      </c>
      <c r="H8" s="164"/>
      <c r="I8" s="164" t="s">
        <v>7</v>
      </c>
      <c r="J8" s="164" t="s">
        <v>8</v>
      </c>
      <c r="K8" s="169" t="s">
        <v>9</v>
      </c>
      <c r="L8" s="169"/>
      <c r="M8" s="169"/>
      <c r="N8" s="169"/>
      <c r="O8" s="169"/>
      <c r="P8" s="164" t="s">
        <v>10</v>
      </c>
      <c r="Q8" s="168" t="s">
        <v>11</v>
      </c>
      <c r="R8" s="164" t="s">
        <v>12</v>
      </c>
      <c r="S8" s="168" t="s">
        <v>12</v>
      </c>
      <c r="T8" s="164" t="s">
        <v>13</v>
      </c>
      <c r="U8" s="164" t="s">
        <v>14</v>
      </c>
      <c r="V8" s="168" t="s">
        <v>15</v>
      </c>
      <c r="W8" s="164" t="s">
        <v>16</v>
      </c>
      <c r="X8" s="164" t="s">
        <v>17</v>
      </c>
      <c r="Y8" s="164" t="s">
        <v>109</v>
      </c>
      <c r="Z8" s="164" t="s">
        <v>18</v>
      </c>
      <c r="AA8" s="164" t="s">
        <v>19</v>
      </c>
      <c r="AB8" s="170" t="s">
        <v>20</v>
      </c>
      <c r="AC8" s="164" t="s">
        <v>21</v>
      </c>
      <c r="AD8" s="168" t="s">
        <v>22</v>
      </c>
      <c r="AE8" s="164" t="s">
        <v>23</v>
      </c>
      <c r="AF8" s="164" t="s">
        <v>110</v>
      </c>
      <c r="AG8" s="164" t="s">
        <v>24</v>
      </c>
      <c r="AH8" s="6"/>
      <c r="AI8" s="7"/>
    </row>
    <row r="9" spans="1:37" ht="12" customHeight="1" x14ac:dyDescent="0.25">
      <c r="A9" s="162"/>
      <c r="B9" s="163"/>
      <c r="C9" s="163"/>
      <c r="D9" s="164"/>
      <c r="E9" s="164"/>
      <c r="F9" s="164"/>
      <c r="G9" s="164"/>
      <c r="H9" s="164"/>
      <c r="I9" s="164"/>
      <c r="J9" s="164"/>
      <c r="K9" s="166" t="s">
        <v>25</v>
      </c>
      <c r="L9" s="164" t="s">
        <v>26</v>
      </c>
      <c r="M9" s="164"/>
      <c r="N9" s="164"/>
      <c r="O9" s="167" t="s">
        <v>27</v>
      </c>
      <c r="P9" s="164"/>
      <c r="Q9" s="168"/>
      <c r="R9" s="164"/>
      <c r="S9" s="168"/>
      <c r="T9" s="164"/>
      <c r="U9" s="164"/>
      <c r="V9" s="168"/>
      <c r="W9" s="164"/>
      <c r="X9" s="164"/>
      <c r="Y9" s="164"/>
      <c r="Z9" s="164"/>
      <c r="AA9" s="164"/>
      <c r="AB9" s="170"/>
      <c r="AC9" s="164"/>
      <c r="AD9" s="168"/>
      <c r="AE9" s="164"/>
      <c r="AF9" s="164"/>
      <c r="AG9" s="164"/>
      <c r="AH9" s="6"/>
      <c r="AI9" s="7"/>
    </row>
    <row r="10" spans="1:37" x14ac:dyDescent="0.25">
      <c r="A10" s="162"/>
      <c r="B10" s="163"/>
      <c r="C10" s="163"/>
      <c r="D10" s="164"/>
      <c r="E10" s="164"/>
      <c r="F10" s="164"/>
      <c r="G10" s="164"/>
      <c r="H10" s="164"/>
      <c r="I10" s="164"/>
      <c r="J10" s="164"/>
      <c r="K10" s="166"/>
      <c r="L10" s="164"/>
      <c r="M10" s="164"/>
      <c r="N10" s="164"/>
      <c r="O10" s="167"/>
      <c r="P10" s="164"/>
      <c r="Q10" s="168"/>
      <c r="R10" s="164"/>
      <c r="S10" s="168"/>
      <c r="T10" s="164"/>
      <c r="U10" s="164"/>
      <c r="V10" s="168"/>
      <c r="W10" s="164"/>
      <c r="X10" s="164"/>
      <c r="Y10" s="164"/>
      <c r="Z10" s="164"/>
      <c r="AA10" s="164"/>
      <c r="AB10" s="170"/>
      <c r="AC10" s="164"/>
      <c r="AD10" s="168"/>
      <c r="AE10" s="164"/>
      <c r="AF10" s="164"/>
      <c r="AG10" s="164"/>
      <c r="AH10" s="6"/>
      <c r="AI10" s="7"/>
    </row>
    <row r="11" spans="1:37" ht="83.25" customHeight="1" x14ac:dyDescent="0.25">
      <c r="A11" s="162"/>
      <c r="B11" s="163"/>
      <c r="C11" s="163"/>
      <c r="D11" s="164"/>
      <c r="E11" s="164"/>
      <c r="F11" s="164"/>
      <c r="G11" s="164"/>
      <c r="H11" s="164"/>
      <c r="I11" s="164"/>
      <c r="J11" s="164"/>
      <c r="K11" s="166"/>
      <c r="L11" s="164"/>
      <c r="M11" s="164"/>
      <c r="N11" s="164"/>
      <c r="O11" s="44" t="s">
        <v>28</v>
      </c>
      <c r="P11" s="164"/>
      <c r="Q11" s="168"/>
      <c r="R11" s="164"/>
      <c r="S11" s="168"/>
      <c r="T11" s="164"/>
      <c r="U11" s="164"/>
      <c r="V11" s="168"/>
      <c r="W11" s="164"/>
      <c r="X11" s="164"/>
      <c r="Y11" s="164"/>
      <c r="Z11" s="164"/>
      <c r="AA11" s="164"/>
      <c r="AB11" s="170"/>
      <c r="AC11" s="164"/>
      <c r="AD11" s="168"/>
      <c r="AE11" s="164"/>
      <c r="AF11" s="164"/>
      <c r="AG11" s="164"/>
      <c r="AH11" s="6"/>
      <c r="AI11" s="7"/>
    </row>
    <row r="12" spans="1:37" s="9" customFormat="1" ht="9" x14ac:dyDescent="0.15">
      <c r="A12" s="40" t="s">
        <v>29</v>
      </c>
      <c r="B12" s="41"/>
      <c r="C12" s="41"/>
      <c r="D12" s="39">
        <v>21111</v>
      </c>
      <c r="E12" s="39">
        <v>2121</v>
      </c>
      <c r="F12" s="39">
        <v>22111</v>
      </c>
      <c r="G12" s="39">
        <v>22122100</v>
      </c>
      <c r="H12" s="39">
        <v>22122900</v>
      </c>
      <c r="I12" s="39">
        <v>22131100</v>
      </c>
      <c r="J12" s="39">
        <v>22141</v>
      </c>
      <c r="K12" s="42">
        <v>2215</v>
      </c>
      <c r="L12" s="39">
        <v>22151</v>
      </c>
      <c r="M12" s="39">
        <v>22152</v>
      </c>
      <c r="N12" s="68">
        <v>22154900</v>
      </c>
      <c r="O12" s="39"/>
      <c r="P12" s="39">
        <v>22181100</v>
      </c>
      <c r="Q12" s="68">
        <v>22211100</v>
      </c>
      <c r="R12" s="39">
        <v>22221100</v>
      </c>
      <c r="S12" s="68">
        <v>22221200</v>
      </c>
      <c r="T12" s="39">
        <v>22241100</v>
      </c>
      <c r="U12" s="39">
        <v>22241200</v>
      </c>
      <c r="V12" s="68">
        <v>22311100</v>
      </c>
      <c r="W12" s="39">
        <v>22321100</v>
      </c>
      <c r="X12" s="39">
        <v>25121100</v>
      </c>
      <c r="Y12" s="39">
        <v>26211300</v>
      </c>
      <c r="Z12" s="39">
        <v>27211500</v>
      </c>
      <c r="AA12" s="39">
        <v>28241100</v>
      </c>
      <c r="AB12" s="39">
        <v>3</v>
      </c>
      <c r="AC12" s="39">
        <v>3111</v>
      </c>
      <c r="AD12" s="68">
        <v>3112</v>
      </c>
      <c r="AE12" s="39">
        <v>3113</v>
      </c>
      <c r="AF12" s="78">
        <v>31211210</v>
      </c>
      <c r="AG12" s="43"/>
      <c r="AH12" s="8"/>
      <c r="AI12" s="8">
        <v>13112.9</v>
      </c>
    </row>
    <row r="13" spans="1:37" x14ac:dyDescent="0.25">
      <c r="A13" s="10" t="s">
        <v>30</v>
      </c>
      <c r="B13" s="11">
        <f t="shared" ref="B13:B14" si="0">SUM(C13,AG13)</f>
        <v>288819</v>
      </c>
      <c r="C13" s="11">
        <f>SUM(D13:K13,P13:AB13)</f>
        <v>275706.09999999998</v>
      </c>
      <c r="D13" s="11">
        <f t="shared" ref="D13:K13" si="1">SUM(D14,D17,D18,D36,D37)</f>
        <v>28100</v>
      </c>
      <c r="E13" s="11">
        <f t="shared" si="1"/>
        <v>4276.8</v>
      </c>
      <c r="F13" s="11">
        <f t="shared" si="1"/>
        <v>2306.6999999999998</v>
      </c>
      <c r="G13" s="11">
        <f t="shared" si="1"/>
        <v>1228.8</v>
      </c>
      <c r="H13" s="11">
        <f t="shared" si="1"/>
        <v>0</v>
      </c>
      <c r="I13" s="11">
        <f t="shared" si="1"/>
        <v>0</v>
      </c>
      <c r="J13" s="11">
        <f t="shared" si="1"/>
        <v>560</v>
      </c>
      <c r="K13" s="11">
        <f t="shared" si="1"/>
        <v>85792</v>
      </c>
      <c r="L13" s="11">
        <f>SUM(L14,L36,L37)</f>
        <v>0</v>
      </c>
      <c r="M13" s="11">
        <f>SUM(M14,M36,M37)</f>
        <v>0</v>
      </c>
      <c r="N13" s="69">
        <f t="shared" ref="N13:Z13" si="2">SUM(N14,N17,N18,N36,N37)</f>
        <v>85792</v>
      </c>
      <c r="O13" s="11">
        <f t="shared" si="2"/>
        <v>2000</v>
      </c>
      <c r="P13" s="11">
        <f t="shared" si="2"/>
        <v>9581.6999999999989</v>
      </c>
      <c r="Q13" s="69">
        <f t="shared" si="2"/>
        <v>3229.2999999999997</v>
      </c>
      <c r="R13" s="11">
        <f t="shared" si="2"/>
        <v>1200</v>
      </c>
      <c r="S13" s="69">
        <f t="shared" si="2"/>
        <v>5856</v>
      </c>
      <c r="T13" s="11">
        <f t="shared" si="2"/>
        <v>13673.5</v>
      </c>
      <c r="U13" s="11">
        <f t="shared" si="2"/>
        <v>1532.6</v>
      </c>
      <c r="V13" s="69">
        <f t="shared" si="2"/>
        <v>832.60000000000014</v>
      </c>
      <c r="W13" s="11">
        <f t="shared" si="2"/>
        <v>0</v>
      </c>
      <c r="X13" s="11">
        <f t="shared" si="2"/>
        <v>55391.999999999993</v>
      </c>
      <c r="Y13" s="11">
        <f t="shared" si="2"/>
        <v>166.5</v>
      </c>
      <c r="Z13" s="11">
        <f t="shared" si="2"/>
        <v>2000</v>
      </c>
      <c r="AA13" s="11">
        <f t="shared" ref="AA13:AG13" si="3">SUM(AA14,AA36,AA37)</f>
        <v>5514.1</v>
      </c>
      <c r="AB13" s="89">
        <f>SUM(AC13:AF13)</f>
        <v>54463.5</v>
      </c>
      <c r="AC13" s="11">
        <f t="shared" si="3"/>
        <v>45123.5</v>
      </c>
      <c r="AD13" s="69">
        <f t="shared" si="3"/>
        <v>7340</v>
      </c>
      <c r="AE13" s="11">
        <f t="shared" si="3"/>
        <v>2000</v>
      </c>
      <c r="AF13" s="11">
        <f t="shared" si="3"/>
        <v>0</v>
      </c>
      <c r="AG13" s="49">
        <f t="shared" si="3"/>
        <v>13112.9</v>
      </c>
      <c r="AH13" s="12"/>
      <c r="AI13" s="5"/>
    </row>
    <row r="14" spans="1:37" x14ac:dyDescent="0.25">
      <c r="A14" s="13" t="s">
        <v>31</v>
      </c>
      <c r="B14" s="11">
        <f t="shared" si="0"/>
        <v>176015.9</v>
      </c>
      <c r="C14" s="11">
        <f>SUM(D14:K14,P14:AB14)</f>
        <v>166871</v>
      </c>
      <c r="D14" s="14">
        <f t="shared" ref="D14:J14" si="4">SUM(D15:D16)</f>
        <v>19692.2</v>
      </c>
      <c r="E14" s="14">
        <f t="shared" si="4"/>
        <v>2826.3</v>
      </c>
      <c r="F14" s="14">
        <f t="shared" si="4"/>
        <v>1411.2</v>
      </c>
      <c r="G14" s="14">
        <f t="shared" si="4"/>
        <v>492</v>
      </c>
      <c r="H14" s="14">
        <f t="shared" si="4"/>
        <v>0</v>
      </c>
      <c r="I14" s="14">
        <f t="shared" si="4"/>
        <v>0</v>
      </c>
      <c r="J14" s="14">
        <f t="shared" si="4"/>
        <v>560</v>
      </c>
      <c r="K14" s="15">
        <f t="shared" ref="K14:K63" si="5">SUM(L14:N14)</f>
        <v>81631.600000000006</v>
      </c>
      <c r="L14" s="14"/>
      <c r="M14" s="14"/>
      <c r="N14" s="70">
        <f t="shared" ref="N14:AA14" si="6">SUM(N15:N16)</f>
        <v>81631.600000000006</v>
      </c>
      <c r="O14" s="14">
        <f t="shared" si="6"/>
        <v>2000</v>
      </c>
      <c r="P14" s="14">
        <f t="shared" si="6"/>
        <v>0</v>
      </c>
      <c r="Q14" s="70">
        <f t="shared" si="6"/>
        <v>0</v>
      </c>
      <c r="R14" s="14">
        <f t="shared" si="6"/>
        <v>500</v>
      </c>
      <c r="S14" s="70">
        <f t="shared" si="6"/>
        <v>1200</v>
      </c>
      <c r="T14" s="14">
        <f t="shared" si="6"/>
        <v>630</v>
      </c>
      <c r="U14" s="14">
        <f t="shared" si="6"/>
        <v>53</v>
      </c>
      <c r="V14" s="70">
        <f t="shared" si="6"/>
        <v>70.599999999999994</v>
      </c>
      <c r="W14" s="14">
        <f t="shared" si="6"/>
        <v>0</v>
      </c>
      <c r="X14" s="14">
        <f t="shared" si="6"/>
        <v>0</v>
      </c>
      <c r="Y14" s="14">
        <f t="shared" si="6"/>
        <v>166.5</v>
      </c>
      <c r="Z14" s="14">
        <f t="shared" si="6"/>
        <v>2000</v>
      </c>
      <c r="AA14" s="14">
        <f t="shared" si="6"/>
        <v>5514.1</v>
      </c>
      <c r="AB14" s="87">
        <f>SUM(AC14:AF14)</f>
        <v>50123.5</v>
      </c>
      <c r="AC14" s="14">
        <f>SUM(AC15:AC16)</f>
        <v>45123.5</v>
      </c>
      <c r="AD14" s="70">
        <f>SUM(AD15:AD16)</f>
        <v>3000</v>
      </c>
      <c r="AE14" s="14">
        <f>SUM(AE15:AE16)</f>
        <v>2000</v>
      </c>
      <c r="AF14" s="79"/>
      <c r="AG14" s="18">
        <f>SUM(AG15:AG16)</f>
        <v>9144.9</v>
      </c>
      <c r="AH14" s="17"/>
      <c r="AJ14" s="5"/>
      <c r="AK14" s="5"/>
    </row>
    <row r="15" spans="1:37" x14ac:dyDescent="0.25">
      <c r="A15" s="13" t="s">
        <v>32</v>
      </c>
      <c r="B15" s="11">
        <f>SUM(C15,AG15)</f>
        <v>173861.6</v>
      </c>
      <c r="C15" s="11">
        <f>SUM(D15:K15,P15:AB15)</f>
        <v>164716.70000000001</v>
      </c>
      <c r="D15" s="14">
        <f>19692.2-665.7</f>
        <v>19026.5</v>
      </c>
      <c r="E15" s="14">
        <f>2826.3-88.6</f>
        <v>2737.7000000000003</v>
      </c>
      <c r="F15" s="14">
        <v>1211.2</v>
      </c>
      <c r="G15" s="14">
        <v>492</v>
      </c>
      <c r="H15" s="14"/>
      <c r="I15" s="14"/>
      <c r="J15" s="14">
        <v>560</v>
      </c>
      <c r="K15" s="15">
        <f t="shared" si="5"/>
        <v>81631.600000000006</v>
      </c>
      <c r="L15" s="14"/>
      <c r="M15" s="14"/>
      <c r="N15" s="70">
        <v>81631.600000000006</v>
      </c>
      <c r="O15" s="14">
        <v>2000</v>
      </c>
      <c r="P15" s="14"/>
      <c r="Q15" s="70"/>
      <c r="R15" s="14">
        <v>500</v>
      </c>
      <c r="S15" s="70">
        <v>1000</v>
      </c>
      <c r="T15" s="14">
        <v>630</v>
      </c>
      <c r="U15" s="14">
        <v>53</v>
      </c>
      <c r="V15" s="70">
        <v>70.599999999999994</v>
      </c>
      <c r="W15" s="14"/>
      <c r="X15" s="14"/>
      <c r="Y15" s="14">
        <v>166.5</v>
      </c>
      <c r="Z15" s="14">
        <v>2000</v>
      </c>
      <c r="AA15" s="14">
        <v>5514.1</v>
      </c>
      <c r="AB15" s="87">
        <f>SUM(AC15:AF15)</f>
        <v>49123.5</v>
      </c>
      <c r="AC15" s="24">
        <v>45123.5</v>
      </c>
      <c r="AD15" s="70">
        <v>2000</v>
      </c>
      <c r="AE15" s="14">
        <v>2000</v>
      </c>
      <c r="AF15" s="79"/>
      <c r="AG15" s="18">
        <v>9144.9</v>
      </c>
      <c r="AH15" s="17"/>
      <c r="AJ15" s="5"/>
      <c r="AK15" s="5"/>
    </row>
    <row r="16" spans="1:37" x14ac:dyDescent="0.25">
      <c r="A16" s="13" t="s">
        <v>33</v>
      </c>
      <c r="B16" s="11">
        <f t="shared" ref="B16:B25" si="7">SUM(C16,AG16)</f>
        <v>2154.3000000000002</v>
      </c>
      <c r="C16" s="11">
        <f t="shared" ref="C16:C25" si="8">SUM(D16:K16,P16:AB16)</f>
        <v>2154.3000000000002</v>
      </c>
      <c r="D16" s="14">
        <v>665.7</v>
      </c>
      <c r="E16" s="14">
        <v>88.6</v>
      </c>
      <c r="F16" s="14">
        <v>200</v>
      </c>
      <c r="G16" s="14"/>
      <c r="H16" s="14"/>
      <c r="I16" s="14"/>
      <c r="J16" s="14"/>
      <c r="K16" s="15">
        <f t="shared" si="5"/>
        <v>0</v>
      </c>
      <c r="L16" s="14"/>
      <c r="M16" s="14"/>
      <c r="N16" s="70"/>
      <c r="O16" s="14"/>
      <c r="P16" s="14"/>
      <c r="Q16" s="70"/>
      <c r="R16" s="14"/>
      <c r="S16" s="70">
        <v>200</v>
      </c>
      <c r="T16" s="14"/>
      <c r="U16" s="14"/>
      <c r="V16" s="70"/>
      <c r="W16" s="14"/>
      <c r="X16" s="14"/>
      <c r="Y16" s="14"/>
      <c r="Z16" s="14"/>
      <c r="AA16" s="14"/>
      <c r="AB16" s="16">
        <f t="shared" ref="AB16:AB68" si="9">SUM(AC16:AF16)</f>
        <v>1000</v>
      </c>
      <c r="AC16" s="24"/>
      <c r="AD16" s="70">
        <v>1000</v>
      </c>
      <c r="AE16" s="14"/>
      <c r="AF16" s="79"/>
      <c r="AG16" s="18"/>
      <c r="AH16" s="17"/>
      <c r="AJ16" s="5"/>
      <c r="AK16" s="5"/>
    </row>
    <row r="17" spans="1:38" hidden="1" x14ac:dyDescent="0.25">
      <c r="A17" s="13" t="s">
        <v>34</v>
      </c>
      <c r="B17" s="11">
        <f t="shared" si="7"/>
        <v>0</v>
      </c>
      <c r="C17" s="11">
        <f t="shared" si="8"/>
        <v>0</v>
      </c>
      <c r="D17" s="14"/>
      <c r="E17" s="14"/>
      <c r="F17" s="14"/>
      <c r="G17" s="14"/>
      <c r="H17" s="14"/>
      <c r="I17" s="14"/>
      <c r="J17" s="14"/>
      <c r="K17" s="15">
        <f t="shared" si="5"/>
        <v>0</v>
      </c>
      <c r="L17" s="14"/>
      <c r="M17" s="14"/>
      <c r="N17" s="70"/>
      <c r="O17" s="14"/>
      <c r="P17" s="14"/>
      <c r="Q17" s="70"/>
      <c r="R17" s="14"/>
      <c r="S17" s="70"/>
      <c r="T17" s="14"/>
      <c r="U17" s="14"/>
      <c r="V17" s="70"/>
      <c r="W17" s="14"/>
      <c r="X17" s="14"/>
      <c r="Y17" s="14"/>
      <c r="Z17" s="14"/>
      <c r="AA17" s="14"/>
      <c r="AB17" s="16">
        <f t="shared" si="9"/>
        <v>0</v>
      </c>
      <c r="AC17" s="14"/>
      <c r="AD17" s="70"/>
      <c r="AE17" s="14"/>
      <c r="AF17" s="79"/>
      <c r="AG17" s="18"/>
      <c r="AH17" s="17"/>
    </row>
    <row r="18" spans="1:38" x14ac:dyDescent="0.25">
      <c r="A18" s="13" t="s">
        <v>108</v>
      </c>
      <c r="B18" s="11">
        <f t="shared" si="7"/>
        <v>55391.999999999993</v>
      </c>
      <c r="C18" s="11">
        <f t="shared" si="8"/>
        <v>55391.999999999993</v>
      </c>
      <c r="D18" s="14"/>
      <c r="E18" s="14"/>
      <c r="F18" s="14"/>
      <c r="G18" s="14"/>
      <c r="H18" s="14"/>
      <c r="I18" s="14"/>
      <c r="J18" s="14"/>
      <c r="K18" s="15">
        <f t="shared" si="5"/>
        <v>0</v>
      </c>
      <c r="L18" s="14"/>
      <c r="M18" s="14"/>
      <c r="N18" s="70"/>
      <c r="O18" s="14"/>
      <c r="P18" s="14"/>
      <c r="Q18" s="70"/>
      <c r="R18" s="14"/>
      <c r="S18" s="70"/>
      <c r="T18" s="14"/>
      <c r="U18" s="14"/>
      <c r="V18" s="70"/>
      <c r="W18" s="14"/>
      <c r="X18" s="14">
        <f>10299.8+2126.5+7668.9+31422.1+3874.7</f>
        <v>55391.999999999993</v>
      </c>
      <c r="Y18" s="14"/>
      <c r="Z18" s="14"/>
      <c r="AA18" s="14"/>
      <c r="AB18" s="16">
        <f t="shared" si="9"/>
        <v>0</v>
      </c>
      <c r="AC18" s="14"/>
      <c r="AD18" s="70"/>
      <c r="AE18" s="14"/>
      <c r="AF18" s="79"/>
      <c r="AG18" s="18"/>
      <c r="AH18" s="17"/>
    </row>
    <row r="19" spans="1:38" x14ac:dyDescent="0.25">
      <c r="A19" s="19" t="s">
        <v>35</v>
      </c>
      <c r="B19" s="11">
        <f t="shared" si="7"/>
        <v>1160.9000000000001</v>
      </c>
      <c r="C19" s="11">
        <f t="shared" si="8"/>
        <v>1160.9000000000001</v>
      </c>
      <c r="D19" s="20">
        <v>573.9</v>
      </c>
      <c r="E19" s="20">
        <v>99</v>
      </c>
      <c r="F19" s="20">
        <v>16.5</v>
      </c>
      <c r="G19" s="20">
        <v>24</v>
      </c>
      <c r="H19" s="20"/>
      <c r="I19" s="21"/>
      <c r="J19" s="20"/>
      <c r="K19" s="22">
        <f t="shared" si="5"/>
        <v>70</v>
      </c>
      <c r="L19" s="20"/>
      <c r="M19" s="20"/>
      <c r="N19" s="70">
        <v>70</v>
      </c>
      <c r="O19" s="20"/>
      <c r="P19" s="20"/>
      <c r="Q19" s="70">
        <v>20</v>
      </c>
      <c r="R19" s="20">
        <v>50</v>
      </c>
      <c r="S19" s="70">
        <v>100</v>
      </c>
      <c r="T19" s="20">
        <v>106</v>
      </c>
      <c r="U19" s="20">
        <v>29</v>
      </c>
      <c r="V19" s="70">
        <v>2.5</v>
      </c>
      <c r="W19" s="20"/>
      <c r="X19" s="20"/>
      <c r="Y19" s="20"/>
      <c r="Z19" s="20"/>
      <c r="AA19" s="20"/>
      <c r="AB19" s="16">
        <f t="shared" si="9"/>
        <v>70</v>
      </c>
      <c r="AC19" s="20"/>
      <c r="AD19" s="70">
        <v>70</v>
      </c>
      <c r="AE19" s="20"/>
      <c r="AF19" s="80"/>
      <c r="AG19" s="23"/>
      <c r="AH19" s="24"/>
    </row>
    <row r="20" spans="1:38" x14ac:dyDescent="0.25">
      <c r="A20" s="19" t="s">
        <v>36</v>
      </c>
      <c r="B20" s="11">
        <f t="shared" si="7"/>
        <v>1132</v>
      </c>
      <c r="C20" s="11">
        <f t="shared" si="8"/>
        <v>1132</v>
      </c>
      <c r="D20" s="20">
        <v>602.79999999999995</v>
      </c>
      <c r="E20" s="20">
        <v>104</v>
      </c>
      <c r="F20" s="20">
        <v>16.5</v>
      </c>
      <c r="G20" s="20">
        <v>24</v>
      </c>
      <c r="H20" s="20"/>
      <c r="I20" s="21"/>
      <c r="J20" s="20"/>
      <c r="K20" s="22">
        <f t="shared" si="5"/>
        <v>70</v>
      </c>
      <c r="L20" s="20"/>
      <c r="M20" s="20"/>
      <c r="N20" s="70">
        <v>70</v>
      </c>
      <c r="O20" s="20"/>
      <c r="P20" s="20"/>
      <c r="Q20" s="70">
        <v>20</v>
      </c>
      <c r="R20" s="20">
        <v>50</v>
      </c>
      <c r="S20" s="70">
        <v>100</v>
      </c>
      <c r="T20" s="20">
        <v>43.2</v>
      </c>
      <c r="U20" s="20">
        <v>29</v>
      </c>
      <c r="V20" s="70">
        <v>2.5</v>
      </c>
      <c r="W20" s="20"/>
      <c r="X20" s="20"/>
      <c r="Y20" s="20"/>
      <c r="Z20" s="20"/>
      <c r="AA20" s="20"/>
      <c r="AB20" s="16">
        <f t="shared" si="9"/>
        <v>70</v>
      </c>
      <c r="AC20" s="20"/>
      <c r="AD20" s="70">
        <v>70</v>
      </c>
      <c r="AE20" s="20"/>
      <c r="AF20" s="80"/>
      <c r="AG20" s="23"/>
      <c r="AH20" s="24"/>
    </row>
    <row r="21" spans="1:38" x14ac:dyDescent="0.25">
      <c r="A21" s="19" t="s">
        <v>37</v>
      </c>
      <c r="B21" s="11">
        <f t="shared" si="7"/>
        <v>1005.2</v>
      </c>
      <c r="C21" s="11">
        <f t="shared" si="8"/>
        <v>1005.2</v>
      </c>
      <c r="D21" s="20">
        <v>494.5</v>
      </c>
      <c r="E21" s="20">
        <v>85.5</v>
      </c>
      <c r="F21" s="20">
        <v>16.5</v>
      </c>
      <c r="G21" s="20">
        <v>24</v>
      </c>
      <c r="H21" s="20"/>
      <c r="I21" s="21"/>
      <c r="J21" s="20"/>
      <c r="K21" s="22">
        <f t="shared" si="5"/>
        <v>70</v>
      </c>
      <c r="L21" s="20"/>
      <c r="M21" s="20"/>
      <c r="N21" s="70">
        <v>70</v>
      </c>
      <c r="O21" s="20"/>
      <c r="P21" s="20"/>
      <c r="Q21" s="70">
        <v>20</v>
      </c>
      <c r="R21" s="20">
        <v>50</v>
      </c>
      <c r="S21" s="70">
        <v>100</v>
      </c>
      <c r="T21" s="20">
        <v>43.2</v>
      </c>
      <c r="U21" s="20">
        <v>29</v>
      </c>
      <c r="V21" s="70">
        <v>2.5</v>
      </c>
      <c r="W21" s="20"/>
      <c r="X21" s="20"/>
      <c r="Y21" s="20"/>
      <c r="Z21" s="20"/>
      <c r="AA21" s="20"/>
      <c r="AB21" s="16">
        <f t="shared" si="9"/>
        <v>70</v>
      </c>
      <c r="AC21" s="20"/>
      <c r="AD21" s="70">
        <v>70</v>
      </c>
      <c r="AE21" s="20"/>
      <c r="AF21" s="80"/>
      <c r="AG21" s="23"/>
      <c r="AH21" s="24"/>
    </row>
    <row r="22" spans="1:38" x14ac:dyDescent="0.25">
      <c r="A22" s="19" t="s">
        <v>38</v>
      </c>
      <c r="B22" s="11">
        <f t="shared" si="7"/>
        <v>903.6</v>
      </c>
      <c r="C22" s="11">
        <f t="shared" si="8"/>
        <v>903.6</v>
      </c>
      <c r="D22" s="20">
        <v>408</v>
      </c>
      <c r="E22" s="20">
        <v>70.400000000000006</v>
      </c>
      <c r="F22" s="20">
        <v>16.5</v>
      </c>
      <c r="G22" s="20">
        <v>24</v>
      </c>
      <c r="H22" s="20"/>
      <c r="I22" s="21"/>
      <c r="J22" s="20"/>
      <c r="K22" s="22">
        <f t="shared" si="5"/>
        <v>70</v>
      </c>
      <c r="L22" s="20"/>
      <c r="M22" s="20"/>
      <c r="N22" s="70">
        <v>70</v>
      </c>
      <c r="O22" s="20"/>
      <c r="P22" s="20"/>
      <c r="Q22" s="70">
        <v>20</v>
      </c>
      <c r="R22" s="20">
        <v>50</v>
      </c>
      <c r="S22" s="70">
        <v>100</v>
      </c>
      <c r="T22" s="20">
        <v>43.2</v>
      </c>
      <c r="U22" s="20">
        <v>29</v>
      </c>
      <c r="V22" s="70">
        <v>2.5</v>
      </c>
      <c r="W22" s="20"/>
      <c r="X22" s="20"/>
      <c r="Y22" s="20"/>
      <c r="Z22" s="20"/>
      <c r="AA22" s="20"/>
      <c r="AB22" s="16">
        <f t="shared" si="9"/>
        <v>70</v>
      </c>
      <c r="AC22" s="20"/>
      <c r="AD22" s="70">
        <v>70</v>
      </c>
      <c r="AE22" s="20"/>
      <c r="AF22" s="80"/>
      <c r="AG22" s="23"/>
      <c r="AH22" s="24"/>
      <c r="AK22" s="25"/>
      <c r="AL22" s="25"/>
    </row>
    <row r="23" spans="1:38" x14ac:dyDescent="0.25">
      <c r="A23" s="19" t="s">
        <v>80</v>
      </c>
      <c r="B23" s="11">
        <f t="shared" si="7"/>
        <v>1016.1</v>
      </c>
      <c r="C23" s="11">
        <f t="shared" si="8"/>
        <v>1016.1</v>
      </c>
      <c r="D23" s="20">
        <v>504</v>
      </c>
      <c r="E23" s="20">
        <v>86.9</v>
      </c>
      <c r="F23" s="20">
        <v>16.5</v>
      </c>
      <c r="G23" s="20">
        <v>24</v>
      </c>
      <c r="H23" s="20"/>
      <c r="I23" s="21"/>
      <c r="J23" s="20"/>
      <c r="K23" s="22">
        <f t="shared" si="5"/>
        <v>70</v>
      </c>
      <c r="L23" s="20"/>
      <c r="M23" s="20"/>
      <c r="N23" s="70">
        <v>70</v>
      </c>
      <c r="O23" s="20"/>
      <c r="P23" s="20"/>
      <c r="Q23" s="70">
        <v>20</v>
      </c>
      <c r="R23" s="20">
        <v>50</v>
      </c>
      <c r="S23" s="70">
        <v>100</v>
      </c>
      <c r="T23" s="20">
        <v>43.2</v>
      </c>
      <c r="U23" s="20">
        <v>29</v>
      </c>
      <c r="V23" s="70">
        <v>2.5</v>
      </c>
      <c r="W23" s="20"/>
      <c r="X23" s="20"/>
      <c r="Y23" s="20"/>
      <c r="Z23" s="20"/>
      <c r="AA23" s="20"/>
      <c r="AB23" s="16">
        <f t="shared" si="9"/>
        <v>70</v>
      </c>
      <c r="AC23" s="20"/>
      <c r="AD23" s="70">
        <v>70</v>
      </c>
      <c r="AE23" s="20"/>
      <c r="AF23" s="80"/>
      <c r="AG23" s="23"/>
      <c r="AH23" s="24"/>
      <c r="AK23" s="25"/>
      <c r="AL23" s="25"/>
    </row>
    <row r="24" spans="1:38" x14ac:dyDescent="0.25">
      <c r="A24" s="19" t="s">
        <v>81</v>
      </c>
      <c r="B24" s="11">
        <f t="shared" si="7"/>
        <v>980.7</v>
      </c>
      <c r="C24" s="11">
        <f t="shared" si="8"/>
        <v>980.7</v>
      </c>
      <c r="D24" s="20">
        <v>473.8</v>
      </c>
      <c r="E24" s="20">
        <v>81.7</v>
      </c>
      <c r="F24" s="20">
        <v>16.5</v>
      </c>
      <c r="G24" s="20">
        <v>24</v>
      </c>
      <c r="H24" s="20"/>
      <c r="I24" s="21"/>
      <c r="J24" s="20"/>
      <c r="K24" s="22">
        <f t="shared" si="5"/>
        <v>70</v>
      </c>
      <c r="L24" s="20"/>
      <c r="M24" s="20"/>
      <c r="N24" s="70">
        <v>70</v>
      </c>
      <c r="O24" s="20"/>
      <c r="P24" s="20"/>
      <c r="Q24" s="70">
        <v>20</v>
      </c>
      <c r="R24" s="20">
        <v>50</v>
      </c>
      <c r="S24" s="70">
        <v>100</v>
      </c>
      <c r="T24" s="20">
        <v>43.2</v>
      </c>
      <c r="U24" s="20">
        <v>29</v>
      </c>
      <c r="V24" s="70">
        <v>2.5</v>
      </c>
      <c r="W24" s="20"/>
      <c r="X24" s="20"/>
      <c r="Y24" s="20"/>
      <c r="Z24" s="20"/>
      <c r="AA24" s="20"/>
      <c r="AB24" s="16">
        <f t="shared" si="9"/>
        <v>70</v>
      </c>
      <c r="AC24" s="20"/>
      <c r="AD24" s="70">
        <v>70</v>
      </c>
      <c r="AE24" s="20"/>
      <c r="AF24" s="80"/>
      <c r="AG24" s="23"/>
      <c r="AH24" s="24"/>
      <c r="AK24" s="25"/>
      <c r="AL24" s="25"/>
    </row>
    <row r="25" spans="1:38" x14ac:dyDescent="0.25">
      <c r="A25" s="19" t="s">
        <v>82</v>
      </c>
      <c r="B25" s="11">
        <f t="shared" si="7"/>
        <v>916.80000000000007</v>
      </c>
      <c r="C25" s="11">
        <f t="shared" si="8"/>
        <v>916.80000000000007</v>
      </c>
      <c r="D25" s="20">
        <v>419.3</v>
      </c>
      <c r="E25" s="20">
        <v>72.3</v>
      </c>
      <c r="F25" s="20">
        <v>16.5</v>
      </c>
      <c r="G25" s="20">
        <v>24</v>
      </c>
      <c r="H25" s="20"/>
      <c r="I25" s="21"/>
      <c r="J25" s="20"/>
      <c r="K25" s="22">
        <f t="shared" si="5"/>
        <v>70</v>
      </c>
      <c r="L25" s="20"/>
      <c r="M25" s="20"/>
      <c r="N25" s="70">
        <v>70</v>
      </c>
      <c r="O25" s="20"/>
      <c r="P25" s="20"/>
      <c r="Q25" s="70">
        <v>20</v>
      </c>
      <c r="R25" s="20">
        <v>50</v>
      </c>
      <c r="S25" s="70">
        <v>100</v>
      </c>
      <c r="T25" s="20">
        <v>43.2</v>
      </c>
      <c r="U25" s="20">
        <v>29</v>
      </c>
      <c r="V25" s="70">
        <v>2.5</v>
      </c>
      <c r="W25" s="20"/>
      <c r="X25" s="20"/>
      <c r="Y25" s="20"/>
      <c r="Z25" s="20"/>
      <c r="AA25" s="20"/>
      <c r="AB25" s="16">
        <f t="shared" si="9"/>
        <v>70</v>
      </c>
      <c r="AC25" s="20"/>
      <c r="AD25" s="70">
        <v>70</v>
      </c>
      <c r="AE25" s="20"/>
      <c r="AF25" s="80"/>
      <c r="AG25" s="23"/>
      <c r="AH25" s="24"/>
      <c r="AK25" s="25"/>
      <c r="AL25" s="25"/>
    </row>
    <row r="26" spans="1:38" x14ac:dyDescent="0.25">
      <c r="A26" s="26" t="s">
        <v>39</v>
      </c>
      <c r="B26" s="11">
        <f t="shared" ref="B26:B68" si="10">SUM(C26,AG26)</f>
        <v>7115.3</v>
      </c>
      <c r="C26" s="11">
        <f t="shared" ref="C26:C68" si="11">SUM(D26:K26,P26:AB26)</f>
        <v>7115.3</v>
      </c>
      <c r="D26" s="15">
        <f t="shared" ref="D26:J26" si="12">SUM(D19:D25)</f>
        <v>3476.3</v>
      </c>
      <c r="E26" s="15">
        <f t="shared" si="12"/>
        <v>599.79999999999995</v>
      </c>
      <c r="F26" s="15">
        <f t="shared" si="12"/>
        <v>115.5</v>
      </c>
      <c r="G26" s="15">
        <f t="shared" si="12"/>
        <v>168</v>
      </c>
      <c r="H26" s="15">
        <f t="shared" si="12"/>
        <v>0</v>
      </c>
      <c r="I26" s="15">
        <f t="shared" si="12"/>
        <v>0</v>
      </c>
      <c r="J26" s="15">
        <f t="shared" si="12"/>
        <v>0</v>
      </c>
      <c r="K26" s="15">
        <f>SUM(L26:N26)</f>
        <v>490</v>
      </c>
      <c r="L26" s="15">
        <f t="shared" ref="L26:AA26" si="13">SUM(L19:L25)</f>
        <v>0</v>
      </c>
      <c r="M26" s="15">
        <f t="shared" si="13"/>
        <v>0</v>
      </c>
      <c r="N26" s="71">
        <f t="shared" si="13"/>
        <v>490</v>
      </c>
      <c r="O26" s="15">
        <f t="shared" si="13"/>
        <v>0</v>
      </c>
      <c r="P26" s="15">
        <f t="shared" si="13"/>
        <v>0</v>
      </c>
      <c r="Q26" s="71">
        <f t="shared" si="13"/>
        <v>140</v>
      </c>
      <c r="R26" s="15">
        <f t="shared" si="13"/>
        <v>350</v>
      </c>
      <c r="S26" s="71">
        <f t="shared" si="13"/>
        <v>700</v>
      </c>
      <c r="T26" s="15">
        <f t="shared" si="13"/>
        <v>365.19999999999993</v>
      </c>
      <c r="U26" s="15">
        <f t="shared" si="13"/>
        <v>203</v>
      </c>
      <c r="V26" s="71">
        <f t="shared" si="13"/>
        <v>17.5</v>
      </c>
      <c r="W26" s="15">
        <f t="shared" si="13"/>
        <v>0</v>
      </c>
      <c r="X26" s="15">
        <f t="shared" si="13"/>
        <v>0</v>
      </c>
      <c r="Y26" s="15"/>
      <c r="Z26" s="15">
        <f t="shared" si="13"/>
        <v>0</v>
      </c>
      <c r="AA26" s="15">
        <f t="shared" si="13"/>
        <v>0</v>
      </c>
      <c r="AB26" s="87">
        <f t="shared" si="9"/>
        <v>490</v>
      </c>
      <c r="AC26" s="15">
        <f>SUM(AC19:AC25)</f>
        <v>0</v>
      </c>
      <c r="AD26" s="71">
        <f>SUM(AD19:AD25)</f>
        <v>490</v>
      </c>
      <c r="AE26" s="15">
        <f>SUM(AE19:AE25)</f>
        <v>0</v>
      </c>
      <c r="AF26" s="81"/>
      <c r="AG26" s="27">
        <f>SUM(AG19:AG25)</f>
        <v>0</v>
      </c>
      <c r="AH26" s="28"/>
      <c r="AK26" s="25"/>
      <c r="AL26" s="25"/>
    </row>
    <row r="27" spans="1:38" x14ac:dyDescent="0.25">
      <c r="A27" s="19" t="s">
        <v>40</v>
      </c>
      <c r="B27" s="11">
        <f t="shared" si="10"/>
        <v>1505.7</v>
      </c>
      <c r="C27" s="11">
        <f t="shared" si="11"/>
        <v>1505.7</v>
      </c>
      <c r="D27" s="20">
        <v>903.8</v>
      </c>
      <c r="E27" s="20">
        <v>155.9</v>
      </c>
      <c r="F27" s="20">
        <v>16.5</v>
      </c>
      <c r="G27" s="20">
        <v>24</v>
      </c>
      <c r="H27" s="20"/>
      <c r="I27" s="20"/>
      <c r="J27" s="20"/>
      <c r="K27" s="22">
        <f t="shared" si="5"/>
        <v>70</v>
      </c>
      <c r="L27" s="20"/>
      <c r="M27" s="20"/>
      <c r="N27" s="70">
        <v>70</v>
      </c>
      <c r="O27" s="20"/>
      <c r="P27" s="20"/>
      <c r="Q27" s="70">
        <v>40</v>
      </c>
      <c r="R27" s="20">
        <v>50</v>
      </c>
      <c r="S27" s="70">
        <v>100</v>
      </c>
      <c r="T27" s="20">
        <v>43.2</v>
      </c>
      <c r="U27" s="20">
        <v>29</v>
      </c>
      <c r="V27" s="70">
        <v>3.3</v>
      </c>
      <c r="W27" s="20"/>
      <c r="X27" s="20"/>
      <c r="Y27" s="20"/>
      <c r="Z27" s="20"/>
      <c r="AA27" s="20"/>
      <c r="AB27" s="16">
        <f t="shared" si="9"/>
        <v>70</v>
      </c>
      <c r="AC27" s="20"/>
      <c r="AD27" s="70">
        <v>70</v>
      </c>
      <c r="AE27" s="20"/>
      <c r="AF27" s="80"/>
      <c r="AG27" s="23"/>
      <c r="AH27" s="24"/>
    </row>
    <row r="28" spans="1:38" x14ac:dyDescent="0.25">
      <c r="A28" s="19" t="s">
        <v>41</v>
      </c>
      <c r="B28" s="11">
        <f t="shared" si="10"/>
        <v>1218.8</v>
      </c>
      <c r="C28" s="11">
        <f t="shared" si="11"/>
        <v>1218.8</v>
      </c>
      <c r="D28" s="20">
        <v>619.20000000000005</v>
      </c>
      <c r="E28" s="20">
        <v>106.8</v>
      </c>
      <c r="F28" s="20">
        <v>16.5</v>
      </c>
      <c r="G28" s="20">
        <v>24</v>
      </c>
      <c r="H28" s="20"/>
      <c r="I28" s="20"/>
      <c r="J28" s="20"/>
      <c r="K28" s="22">
        <f t="shared" si="5"/>
        <v>70</v>
      </c>
      <c r="L28" s="20"/>
      <c r="M28" s="20"/>
      <c r="N28" s="70">
        <v>70</v>
      </c>
      <c r="O28" s="20"/>
      <c r="P28" s="20"/>
      <c r="Q28" s="70">
        <v>40</v>
      </c>
      <c r="R28" s="20">
        <v>50</v>
      </c>
      <c r="S28" s="70">
        <v>100</v>
      </c>
      <c r="T28" s="20">
        <v>90</v>
      </c>
      <c r="U28" s="20">
        <v>29</v>
      </c>
      <c r="V28" s="70">
        <v>3.3</v>
      </c>
      <c r="W28" s="20"/>
      <c r="X28" s="20"/>
      <c r="Y28" s="20"/>
      <c r="Z28" s="20"/>
      <c r="AA28" s="20"/>
      <c r="AB28" s="16">
        <f t="shared" si="9"/>
        <v>70</v>
      </c>
      <c r="AC28" s="20"/>
      <c r="AD28" s="70">
        <v>70</v>
      </c>
      <c r="AE28" s="20"/>
      <c r="AF28" s="80"/>
      <c r="AG28" s="23"/>
      <c r="AH28" s="24"/>
    </row>
    <row r="29" spans="1:38" x14ac:dyDescent="0.25">
      <c r="A29" s="19" t="s">
        <v>42</v>
      </c>
      <c r="B29" s="11">
        <f t="shared" si="10"/>
        <v>1216.8</v>
      </c>
      <c r="C29" s="11">
        <f t="shared" si="11"/>
        <v>1216.8</v>
      </c>
      <c r="D29" s="20">
        <v>719</v>
      </c>
      <c r="E29" s="20">
        <v>124</v>
      </c>
      <c r="F29" s="20">
        <v>16.5</v>
      </c>
      <c r="G29" s="20">
        <v>24</v>
      </c>
      <c r="H29" s="20"/>
      <c r="I29" s="20"/>
      <c r="J29" s="20"/>
      <c r="K29" s="22">
        <f t="shared" si="5"/>
        <v>70</v>
      </c>
      <c r="L29" s="20"/>
      <c r="M29" s="20"/>
      <c r="N29" s="70">
        <v>70</v>
      </c>
      <c r="O29" s="20"/>
      <c r="P29" s="20"/>
      <c r="Q29" s="70">
        <v>40</v>
      </c>
      <c r="R29" s="20">
        <v>50</v>
      </c>
      <c r="S29" s="70">
        <v>100</v>
      </c>
      <c r="T29" s="20"/>
      <c r="U29" s="20"/>
      <c r="V29" s="70">
        <v>3.3</v>
      </c>
      <c r="W29" s="20"/>
      <c r="X29" s="20"/>
      <c r="Y29" s="20"/>
      <c r="Z29" s="20"/>
      <c r="AA29" s="20"/>
      <c r="AB29" s="16">
        <f t="shared" si="9"/>
        <v>70</v>
      </c>
      <c r="AC29" s="20"/>
      <c r="AD29" s="70">
        <v>70</v>
      </c>
      <c r="AE29" s="20"/>
      <c r="AF29" s="80"/>
      <c r="AG29" s="23"/>
      <c r="AH29" s="24"/>
    </row>
    <row r="30" spans="1:38" x14ac:dyDescent="0.25">
      <c r="A30" s="19" t="s">
        <v>43</v>
      </c>
      <c r="B30" s="11">
        <f t="shared" si="10"/>
        <v>1136.6000000000001</v>
      </c>
      <c r="C30" s="11">
        <f t="shared" si="11"/>
        <v>1136.6000000000001</v>
      </c>
      <c r="D30" s="20">
        <v>650.6</v>
      </c>
      <c r="E30" s="20">
        <v>112.2</v>
      </c>
      <c r="F30" s="20">
        <v>16.5</v>
      </c>
      <c r="G30" s="20">
        <v>24</v>
      </c>
      <c r="H30" s="20"/>
      <c r="I30" s="20"/>
      <c r="J30" s="20"/>
      <c r="K30" s="22">
        <f>SUM(L30:N30)</f>
        <v>70</v>
      </c>
      <c r="L30" s="20"/>
      <c r="M30" s="20"/>
      <c r="N30" s="70">
        <v>70</v>
      </c>
      <c r="O30" s="20"/>
      <c r="P30" s="20"/>
      <c r="Q30" s="70">
        <v>40</v>
      </c>
      <c r="R30" s="20">
        <v>50</v>
      </c>
      <c r="S30" s="70">
        <v>100</v>
      </c>
      <c r="T30" s="20"/>
      <c r="U30" s="20"/>
      <c r="V30" s="70">
        <v>3.3</v>
      </c>
      <c r="W30" s="20"/>
      <c r="X30" s="20"/>
      <c r="Y30" s="20"/>
      <c r="Z30" s="20"/>
      <c r="AA30" s="20"/>
      <c r="AB30" s="16">
        <f t="shared" si="9"/>
        <v>70</v>
      </c>
      <c r="AC30" s="20"/>
      <c r="AD30" s="70">
        <v>70</v>
      </c>
      <c r="AE30" s="20"/>
      <c r="AF30" s="80"/>
      <c r="AG30" s="23"/>
      <c r="AH30" s="24"/>
    </row>
    <row r="31" spans="1:38" x14ac:dyDescent="0.25">
      <c r="A31" s="19" t="s">
        <v>83</v>
      </c>
      <c r="B31" s="11">
        <f t="shared" si="10"/>
        <v>1303.8000000000002</v>
      </c>
      <c r="C31" s="11">
        <f t="shared" si="11"/>
        <v>1303.8000000000002</v>
      </c>
      <c r="D31" s="20">
        <v>731.6</v>
      </c>
      <c r="E31" s="20">
        <v>126.2</v>
      </c>
      <c r="F31" s="20">
        <v>16.5</v>
      </c>
      <c r="G31" s="20">
        <v>24</v>
      </c>
      <c r="H31" s="20"/>
      <c r="I31" s="20"/>
      <c r="J31" s="20"/>
      <c r="K31" s="22">
        <f t="shared" ref="K31:K33" si="14">SUM(L31:N31)</f>
        <v>70</v>
      </c>
      <c r="L31" s="20"/>
      <c r="M31" s="20"/>
      <c r="N31" s="70">
        <v>70</v>
      </c>
      <c r="O31" s="20"/>
      <c r="P31" s="20"/>
      <c r="Q31" s="70">
        <v>40</v>
      </c>
      <c r="R31" s="20">
        <v>50</v>
      </c>
      <c r="S31" s="70">
        <v>100</v>
      </c>
      <c r="T31" s="20">
        <v>43.2</v>
      </c>
      <c r="U31" s="20">
        <v>29</v>
      </c>
      <c r="V31" s="70">
        <v>3.3</v>
      </c>
      <c r="W31" s="20"/>
      <c r="X31" s="20"/>
      <c r="Y31" s="20"/>
      <c r="Z31" s="20"/>
      <c r="AA31" s="20"/>
      <c r="AB31" s="16">
        <f t="shared" si="9"/>
        <v>70</v>
      </c>
      <c r="AC31" s="20"/>
      <c r="AD31" s="70">
        <v>70</v>
      </c>
      <c r="AE31" s="20"/>
      <c r="AF31" s="80"/>
      <c r="AG31" s="23"/>
      <c r="AH31" s="24"/>
    </row>
    <row r="32" spans="1:38" x14ac:dyDescent="0.25">
      <c r="A32" s="19" t="s">
        <v>84</v>
      </c>
      <c r="B32" s="11">
        <f t="shared" si="10"/>
        <v>1230.9000000000001</v>
      </c>
      <c r="C32" s="11">
        <f t="shared" si="11"/>
        <v>1230.9000000000001</v>
      </c>
      <c r="D32" s="20">
        <v>683.8</v>
      </c>
      <c r="E32" s="20">
        <v>118</v>
      </c>
      <c r="F32" s="20">
        <v>16.5</v>
      </c>
      <c r="G32" s="20">
        <v>24</v>
      </c>
      <c r="H32" s="20"/>
      <c r="I32" s="20"/>
      <c r="J32" s="20"/>
      <c r="K32" s="22">
        <f t="shared" si="14"/>
        <v>70</v>
      </c>
      <c r="L32" s="20"/>
      <c r="M32" s="20"/>
      <c r="N32" s="70">
        <v>70</v>
      </c>
      <c r="O32" s="20"/>
      <c r="P32" s="20"/>
      <c r="Q32" s="70">
        <v>23.1</v>
      </c>
      <c r="R32" s="20">
        <v>50</v>
      </c>
      <c r="S32" s="70">
        <v>100</v>
      </c>
      <c r="T32" s="20">
        <v>43.2</v>
      </c>
      <c r="U32" s="20">
        <v>29</v>
      </c>
      <c r="V32" s="70">
        <v>3.3</v>
      </c>
      <c r="W32" s="20"/>
      <c r="X32" s="20"/>
      <c r="Y32" s="20"/>
      <c r="Z32" s="20"/>
      <c r="AA32" s="20"/>
      <c r="AB32" s="16">
        <f t="shared" si="9"/>
        <v>70</v>
      </c>
      <c r="AC32" s="20"/>
      <c r="AD32" s="70">
        <v>70</v>
      </c>
      <c r="AE32" s="20"/>
      <c r="AF32" s="80"/>
      <c r="AG32" s="23"/>
      <c r="AH32" s="24"/>
    </row>
    <row r="33" spans="1:42" x14ac:dyDescent="0.25">
      <c r="A33" s="19" t="s">
        <v>85</v>
      </c>
      <c r="B33" s="11">
        <f t="shared" si="10"/>
        <v>1177.0999999999999</v>
      </c>
      <c r="C33" s="11">
        <f t="shared" si="11"/>
        <v>1177.0999999999999</v>
      </c>
      <c r="D33" s="20">
        <v>623.5</v>
      </c>
      <c r="E33" s="20">
        <v>107.6</v>
      </c>
      <c r="F33" s="20">
        <v>16.5</v>
      </c>
      <c r="G33" s="20">
        <v>24</v>
      </c>
      <c r="H33" s="20"/>
      <c r="I33" s="20"/>
      <c r="J33" s="20"/>
      <c r="K33" s="22">
        <f t="shared" si="14"/>
        <v>70</v>
      </c>
      <c r="L33" s="20"/>
      <c r="M33" s="20"/>
      <c r="N33" s="70">
        <v>70</v>
      </c>
      <c r="O33" s="20"/>
      <c r="P33" s="20"/>
      <c r="Q33" s="70">
        <v>40</v>
      </c>
      <c r="R33" s="20">
        <v>50</v>
      </c>
      <c r="S33" s="70">
        <v>100</v>
      </c>
      <c r="T33" s="20">
        <v>43.2</v>
      </c>
      <c r="U33" s="20">
        <v>29</v>
      </c>
      <c r="V33" s="70">
        <v>3.3</v>
      </c>
      <c r="W33" s="20"/>
      <c r="X33" s="20"/>
      <c r="Y33" s="20"/>
      <c r="Z33" s="20"/>
      <c r="AA33" s="20"/>
      <c r="AB33" s="16">
        <f t="shared" si="9"/>
        <v>70</v>
      </c>
      <c r="AC33" s="20"/>
      <c r="AD33" s="70">
        <v>70</v>
      </c>
      <c r="AE33" s="20"/>
      <c r="AF33" s="80"/>
      <c r="AG33" s="23"/>
      <c r="AH33" s="24"/>
    </row>
    <row r="34" spans="1:42" x14ac:dyDescent="0.25">
      <c r="A34" s="29" t="s">
        <v>44</v>
      </c>
      <c r="B34" s="11">
        <f t="shared" si="10"/>
        <v>8789.7000000000007</v>
      </c>
      <c r="C34" s="11">
        <f t="shared" si="11"/>
        <v>8789.7000000000007</v>
      </c>
      <c r="D34" s="14">
        <f t="shared" ref="D34:J34" si="15">SUM(D27:D33)</f>
        <v>4931.5</v>
      </c>
      <c r="E34" s="14">
        <f t="shared" si="15"/>
        <v>850.7</v>
      </c>
      <c r="F34" s="14">
        <f t="shared" si="15"/>
        <v>115.5</v>
      </c>
      <c r="G34" s="14">
        <f t="shared" si="15"/>
        <v>168</v>
      </c>
      <c r="H34" s="14">
        <f t="shared" si="15"/>
        <v>0</v>
      </c>
      <c r="I34" s="14">
        <f t="shared" si="15"/>
        <v>0</v>
      </c>
      <c r="J34" s="14">
        <f t="shared" si="15"/>
        <v>0</v>
      </c>
      <c r="K34" s="15">
        <f>SUM(L34:N34)</f>
        <v>490</v>
      </c>
      <c r="L34" s="14">
        <f t="shared" ref="L34:AA34" si="16">SUM(L27:L33)</f>
        <v>0</v>
      </c>
      <c r="M34" s="14">
        <f t="shared" si="16"/>
        <v>0</v>
      </c>
      <c r="N34" s="70">
        <f t="shared" si="16"/>
        <v>490</v>
      </c>
      <c r="O34" s="14">
        <f t="shared" si="16"/>
        <v>0</v>
      </c>
      <c r="P34" s="14">
        <f t="shared" si="16"/>
        <v>0</v>
      </c>
      <c r="Q34" s="70">
        <f t="shared" si="16"/>
        <v>263.10000000000002</v>
      </c>
      <c r="R34" s="14">
        <f t="shared" si="16"/>
        <v>350</v>
      </c>
      <c r="S34" s="70">
        <f t="shared" si="16"/>
        <v>700</v>
      </c>
      <c r="T34" s="14">
        <f t="shared" si="16"/>
        <v>262.79999999999995</v>
      </c>
      <c r="U34" s="14">
        <f t="shared" si="16"/>
        <v>145</v>
      </c>
      <c r="V34" s="70">
        <f t="shared" si="16"/>
        <v>23.1</v>
      </c>
      <c r="W34" s="14">
        <f t="shared" si="16"/>
        <v>0</v>
      </c>
      <c r="X34" s="14">
        <f t="shared" si="16"/>
        <v>0</v>
      </c>
      <c r="Y34" s="14"/>
      <c r="Z34" s="14">
        <f t="shared" si="16"/>
        <v>0</v>
      </c>
      <c r="AA34" s="14">
        <f t="shared" si="16"/>
        <v>0</v>
      </c>
      <c r="AB34" s="87">
        <f t="shared" si="9"/>
        <v>490</v>
      </c>
      <c r="AC34" s="14">
        <f>SUM(AC27:AC33)</f>
        <v>0</v>
      </c>
      <c r="AD34" s="70">
        <f>SUM(AD27:AD33)</f>
        <v>490</v>
      </c>
      <c r="AE34" s="14">
        <f>SUM(AE27:AE33)</f>
        <v>0</v>
      </c>
      <c r="AF34" s="79"/>
      <c r="AG34" s="18">
        <f>SUM(AG27:AG33)</f>
        <v>0</v>
      </c>
      <c r="AH34" s="17"/>
    </row>
    <row r="35" spans="1:42" hidden="1" x14ac:dyDescent="0.25">
      <c r="A35" s="29" t="s">
        <v>45</v>
      </c>
      <c r="B35" s="11">
        <f t="shared" si="10"/>
        <v>0</v>
      </c>
      <c r="C35" s="11">
        <f t="shared" si="11"/>
        <v>0</v>
      </c>
      <c r="D35" s="14"/>
      <c r="E35" s="14"/>
      <c r="F35" s="14"/>
      <c r="G35" s="14"/>
      <c r="H35" s="14"/>
      <c r="I35" s="14"/>
      <c r="J35" s="14"/>
      <c r="K35" s="22">
        <f t="shared" si="5"/>
        <v>0</v>
      </c>
      <c r="L35" s="14"/>
      <c r="M35" s="14"/>
      <c r="N35" s="70"/>
      <c r="O35" s="14"/>
      <c r="P35" s="14"/>
      <c r="Q35" s="70"/>
      <c r="R35" s="14"/>
      <c r="S35" s="70"/>
      <c r="T35" s="14"/>
      <c r="U35" s="14"/>
      <c r="V35" s="70"/>
      <c r="W35" s="14"/>
      <c r="X35" s="14"/>
      <c r="Y35" s="14"/>
      <c r="Z35" s="14"/>
      <c r="AA35" s="14"/>
      <c r="AB35" s="16">
        <f t="shared" si="9"/>
        <v>0</v>
      </c>
      <c r="AC35" s="14"/>
      <c r="AD35" s="70"/>
      <c r="AE35" s="14"/>
      <c r="AF35" s="79"/>
      <c r="AG35" s="18"/>
      <c r="AH35" s="17"/>
    </row>
    <row r="36" spans="1:42" x14ac:dyDescent="0.25">
      <c r="A36" s="13" t="s">
        <v>46</v>
      </c>
      <c r="B36" s="11">
        <f t="shared" si="10"/>
        <v>15905</v>
      </c>
      <c r="C36" s="11">
        <f t="shared" si="11"/>
        <v>15905</v>
      </c>
      <c r="D36" s="30">
        <f t="shared" ref="D36:J36" si="17">SUM(D26,D34,D35)</f>
        <v>8407.7999999999993</v>
      </c>
      <c r="E36" s="30">
        <f t="shared" si="17"/>
        <v>1450.5</v>
      </c>
      <c r="F36" s="30">
        <f t="shared" si="17"/>
        <v>231</v>
      </c>
      <c r="G36" s="30">
        <f t="shared" si="17"/>
        <v>336</v>
      </c>
      <c r="H36" s="30">
        <f t="shared" si="17"/>
        <v>0</v>
      </c>
      <c r="I36" s="30">
        <f t="shared" si="17"/>
        <v>0</v>
      </c>
      <c r="J36" s="30">
        <f t="shared" si="17"/>
        <v>0</v>
      </c>
      <c r="K36" s="31">
        <f t="shared" si="5"/>
        <v>980</v>
      </c>
      <c r="L36" s="30">
        <f t="shared" ref="L36:X36" si="18">SUM(L26,L34,L35)</f>
        <v>0</v>
      </c>
      <c r="M36" s="30">
        <f t="shared" si="18"/>
        <v>0</v>
      </c>
      <c r="N36" s="72">
        <f t="shared" si="18"/>
        <v>980</v>
      </c>
      <c r="O36" s="30">
        <f t="shared" si="18"/>
        <v>0</v>
      </c>
      <c r="P36" s="30">
        <f t="shared" si="18"/>
        <v>0</v>
      </c>
      <c r="Q36" s="72">
        <f t="shared" si="18"/>
        <v>403.1</v>
      </c>
      <c r="R36" s="30">
        <f t="shared" si="18"/>
        <v>700</v>
      </c>
      <c r="S36" s="72">
        <f t="shared" si="18"/>
        <v>1400</v>
      </c>
      <c r="T36" s="30">
        <f t="shared" si="18"/>
        <v>627.99999999999989</v>
      </c>
      <c r="U36" s="30">
        <f t="shared" si="18"/>
        <v>348</v>
      </c>
      <c r="V36" s="72">
        <f t="shared" si="18"/>
        <v>40.6</v>
      </c>
      <c r="W36" s="30">
        <f t="shared" si="18"/>
        <v>0</v>
      </c>
      <c r="X36" s="30">
        <f t="shared" si="18"/>
        <v>0</v>
      </c>
      <c r="Y36" s="30"/>
      <c r="Z36" s="30"/>
      <c r="AA36" s="30">
        <f>SUM(AA26,AA34,AA35)</f>
        <v>0</v>
      </c>
      <c r="AB36" s="88">
        <f t="shared" si="9"/>
        <v>980</v>
      </c>
      <c r="AC36" s="30">
        <f>SUM(AC26,AC34,AC35)</f>
        <v>0</v>
      </c>
      <c r="AD36" s="72">
        <f>SUM(AD26,AD34,AD35)</f>
        <v>980</v>
      </c>
      <c r="AE36" s="30">
        <f>SUM(AE26,AE34,AE35)</f>
        <v>0</v>
      </c>
      <c r="AF36" s="82"/>
      <c r="AG36" s="32">
        <f>SUM(AG26,AG34,AG35)</f>
        <v>0</v>
      </c>
      <c r="AH36" s="33" t="s">
        <v>47</v>
      </c>
      <c r="AI36" s="172" t="s">
        <v>107</v>
      </c>
      <c r="AJ36" s="172"/>
      <c r="AK36" s="172"/>
      <c r="AL36" s="172"/>
      <c r="AM36" s="172"/>
      <c r="AN36" s="172"/>
      <c r="AO36" s="172"/>
      <c r="AP36" s="172"/>
    </row>
    <row r="37" spans="1:42" x14ac:dyDescent="0.25">
      <c r="A37" s="34" t="s">
        <v>48</v>
      </c>
      <c r="B37" s="11">
        <f t="shared" si="10"/>
        <v>41506.1</v>
      </c>
      <c r="C37" s="11">
        <f t="shared" si="11"/>
        <v>37538.1</v>
      </c>
      <c r="D37" s="31">
        <f t="shared" ref="D37:J37" si="19">SUM(D53,D55,D68,D70)</f>
        <v>0</v>
      </c>
      <c r="E37" s="31">
        <f t="shared" si="19"/>
        <v>0</v>
      </c>
      <c r="F37" s="31">
        <f t="shared" si="19"/>
        <v>664.49999999999989</v>
      </c>
      <c r="G37" s="31">
        <f t="shared" si="19"/>
        <v>400.7999999999999</v>
      </c>
      <c r="H37" s="31">
        <f t="shared" si="19"/>
        <v>0</v>
      </c>
      <c r="I37" s="31">
        <f t="shared" si="19"/>
        <v>0</v>
      </c>
      <c r="J37" s="31">
        <f t="shared" si="19"/>
        <v>0</v>
      </c>
      <c r="K37" s="31">
        <f t="shared" si="5"/>
        <v>3180.4</v>
      </c>
      <c r="L37" s="31">
        <f t="shared" ref="L37:X37" si="20">SUM(L53,L55,L68,L70)</f>
        <v>0</v>
      </c>
      <c r="M37" s="31">
        <f t="shared" si="20"/>
        <v>0</v>
      </c>
      <c r="N37" s="73">
        <f t="shared" si="20"/>
        <v>3180.4</v>
      </c>
      <c r="O37" s="31">
        <f t="shared" si="20"/>
        <v>0</v>
      </c>
      <c r="P37" s="31">
        <f t="shared" si="20"/>
        <v>9581.6999999999989</v>
      </c>
      <c r="Q37" s="73">
        <f t="shared" si="20"/>
        <v>2826.2</v>
      </c>
      <c r="R37" s="31">
        <f t="shared" si="20"/>
        <v>0</v>
      </c>
      <c r="S37" s="73">
        <f t="shared" si="20"/>
        <v>3256</v>
      </c>
      <c r="T37" s="31">
        <f t="shared" si="20"/>
        <v>12415.5</v>
      </c>
      <c r="U37" s="31">
        <f t="shared" si="20"/>
        <v>1131.5999999999999</v>
      </c>
      <c r="V37" s="73">
        <f t="shared" si="20"/>
        <v>721.40000000000009</v>
      </c>
      <c r="W37" s="31">
        <f t="shared" si="20"/>
        <v>0</v>
      </c>
      <c r="X37" s="31">
        <f t="shared" si="20"/>
        <v>0</v>
      </c>
      <c r="Y37" s="31"/>
      <c r="Z37" s="31">
        <f>SUM(Z53,Z55,Z68,Z70)</f>
        <v>0</v>
      </c>
      <c r="AA37" s="31">
        <f>SUM(AA53,AA55,AA68,AA70)</f>
        <v>0</v>
      </c>
      <c r="AB37" s="88">
        <f t="shared" si="9"/>
        <v>3360</v>
      </c>
      <c r="AC37" s="31">
        <f>SUM(AC53,AC55,AC68,AC70)</f>
        <v>0</v>
      </c>
      <c r="AD37" s="73">
        <f>SUM(AD53,AD55,AD68,AD70)</f>
        <v>3360</v>
      </c>
      <c r="AE37" s="31">
        <f>SUM(AE53,AE55,AE68,AE70)</f>
        <v>0</v>
      </c>
      <c r="AF37" s="83"/>
      <c r="AG37" s="62">
        <f>SUM(AG53,AG55,AG68,AG70)</f>
        <v>3968.0000000000005</v>
      </c>
      <c r="AH37" s="35" t="s">
        <v>49</v>
      </c>
      <c r="AI37" s="5" t="s">
        <v>50</v>
      </c>
      <c r="AJ37" s="1" t="s">
        <v>51</v>
      </c>
      <c r="AK37" s="36" t="s">
        <v>52</v>
      </c>
      <c r="AL37" s="36" t="s">
        <v>53</v>
      </c>
      <c r="AM37" s="36" t="s">
        <v>54</v>
      </c>
      <c r="AN37" s="36" t="s">
        <v>55</v>
      </c>
    </row>
    <row r="38" spans="1:42" x14ac:dyDescent="0.25">
      <c r="A38" s="19" t="s">
        <v>86</v>
      </c>
      <c r="B38" s="11">
        <f t="shared" si="10"/>
        <v>1475.1999999999998</v>
      </c>
      <c r="C38" s="11">
        <f t="shared" si="11"/>
        <v>1300.0999999999999</v>
      </c>
      <c r="D38" s="20"/>
      <c r="E38" s="20"/>
      <c r="F38" s="20">
        <v>44.3</v>
      </c>
      <c r="G38" s="20">
        <v>26.4</v>
      </c>
      <c r="H38" s="20"/>
      <c r="I38" s="20"/>
      <c r="J38" s="20"/>
      <c r="K38" s="22">
        <f t="shared" si="5"/>
        <v>100</v>
      </c>
      <c r="L38" s="20"/>
      <c r="M38" s="20"/>
      <c r="N38" s="70">
        <v>100</v>
      </c>
      <c r="O38" s="20"/>
      <c r="P38" s="20">
        <v>475.2</v>
      </c>
      <c r="Q38" s="70">
        <v>85.3</v>
      </c>
      <c r="R38" s="20"/>
      <c r="S38" s="70">
        <f>3*3*12</f>
        <v>108</v>
      </c>
      <c r="T38" s="20">
        <v>270</v>
      </c>
      <c r="U38" s="20">
        <v>24</v>
      </c>
      <c r="V38" s="70">
        <v>16.899999999999999</v>
      </c>
      <c r="W38" s="20"/>
      <c r="X38" s="20"/>
      <c r="Y38" s="20"/>
      <c r="Z38" s="20"/>
      <c r="AA38" s="20"/>
      <c r="AB38" s="16">
        <f t="shared" si="9"/>
        <v>150</v>
      </c>
      <c r="AC38" s="20"/>
      <c r="AD38" s="70">
        <v>150</v>
      </c>
      <c r="AE38" s="20"/>
      <c r="AF38" s="80"/>
      <c r="AG38" s="23">
        <v>175.1</v>
      </c>
      <c r="AH38" s="55" t="s">
        <v>86</v>
      </c>
      <c r="AI38" s="1">
        <v>55</v>
      </c>
      <c r="AJ38" s="1">
        <v>240</v>
      </c>
      <c r="AK38" s="1">
        <f>36+30</f>
        <v>66</v>
      </c>
      <c r="AL38" s="1">
        <f>AI38*AJ38*AK38</f>
        <v>871200</v>
      </c>
      <c r="AM38" s="1">
        <f>AI38*600*12</f>
        <v>396000</v>
      </c>
      <c r="AN38" s="1">
        <f>AL38-AM38</f>
        <v>475200</v>
      </c>
      <c r="AO38" s="1">
        <f>AM38/AI38/AJ38</f>
        <v>30</v>
      </c>
      <c r="AP38" s="1">
        <f>AN38/AI38/AJ38</f>
        <v>36</v>
      </c>
    </row>
    <row r="39" spans="1:42" x14ac:dyDescent="0.25">
      <c r="A39" s="19" t="s">
        <v>87</v>
      </c>
      <c r="B39" s="11">
        <f t="shared" si="10"/>
        <v>2081.6999999999998</v>
      </c>
      <c r="C39" s="11">
        <f t="shared" si="11"/>
        <v>1770.5</v>
      </c>
      <c r="D39" s="20"/>
      <c r="E39" s="20"/>
      <c r="F39" s="20">
        <v>44.3</v>
      </c>
      <c r="G39" s="20">
        <v>26.4</v>
      </c>
      <c r="H39" s="20"/>
      <c r="I39" s="20"/>
      <c r="J39" s="20"/>
      <c r="K39" s="22">
        <f t="shared" si="5"/>
        <v>100</v>
      </c>
      <c r="L39" s="20"/>
      <c r="M39" s="20"/>
      <c r="N39" s="70">
        <v>100</v>
      </c>
      <c r="O39" s="20"/>
      <c r="P39" s="20">
        <v>691.2</v>
      </c>
      <c r="Q39" s="70">
        <v>117.3</v>
      </c>
      <c r="R39" s="20"/>
      <c r="S39" s="70">
        <f>4*3*12</f>
        <v>144</v>
      </c>
      <c r="T39" s="20">
        <f>360+67.5</f>
        <v>427.5</v>
      </c>
      <c r="U39" s="20">
        <v>50.8</v>
      </c>
      <c r="V39" s="70">
        <v>19</v>
      </c>
      <c r="W39" s="20"/>
      <c r="X39" s="20"/>
      <c r="Y39" s="20"/>
      <c r="Z39" s="20"/>
      <c r="AA39" s="20"/>
      <c r="AB39" s="16">
        <f t="shared" si="9"/>
        <v>150</v>
      </c>
      <c r="AC39" s="20"/>
      <c r="AD39" s="70">
        <v>150</v>
      </c>
      <c r="AE39" s="20"/>
      <c r="AF39" s="80"/>
      <c r="AG39" s="23">
        <v>311.2</v>
      </c>
      <c r="AH39" s="55" t="s">
        <v>87</v>
      </c>
      <c r="AI39" s="1">
        <v>80</v>
      </c>
      <c r="AJ39" s="1">
        <v>240</v>
      </c>
      <c r="AK39" s="1">
        <f t="shared" ref="AK39:AK53" si="21">36+30</f>
        <v>66</v>
      </c>
      <c r="AL39" s="1">
        <f>AI39*AJ39*AK39</f>
        <v>1267200</v>
      </c>
      <c r="AM39" s="1">
        <f t="shared" ref="AM39:AM52" si="22">AI39*600*12</f>
        <v>576000</v>
      </c>
      <c r="AN39" s="1">
        <f t="shared" ref="AN39:AN46" si="23">AL39-AM39</f>
        <v>691200</v>
      </c>
      <c r="AO39" s="1">
        <f t="shared" ref="AO39:AO53" si="24">AM39/AI39/AJ39</f>
        <v>30</v>
      </c>
      <c r="AP39" s="1">
        <f t="shared" ref="AP39:AP46" si="25">AN39/AI39/AJ39</f>
        <v>36</v>
      </c>
    </row>
    <row r="40" spans="1:42" x14ac:dyDescent="0.25">
      <c r="A40" s="19" t="s">
        <v>88</v>
      </c>
      <c r="B40" s="11">
        <f t="shared" si="10"/>
        <v>1838.2</v>
      </c>
      <c r="C40" s="11">
        <f t="shared" si="11"/>
        <v>1565.9</v>
      </c>
      <c r="D40" s="20"/>
      <c r="E40" s="20"/>
      <c r="F40" s="20">
        <v>44.3</v>
      </c>
      <c r="G40" s="20">
        <v>26.4</v>
      </c>
      <c r="H40" s="20"/>
      <c r="I40" s="20"/>
      <c r="J40" s="20"/>
      <c r="K40" s="22">
        <f t="shared" si="5"/>
        <v>100</v>
      </c>
      <c r="L40" s="20"/>
      <c r="M40" s="20"/>
      <c r="N40" s="70">
        <v>100</v>
      </c>
      <c r="O40" s="20"/>
      <c r="P40" s="20">
        <v>691.2</v>
      </c>
      <c r="Q40" s="70">
        <v>85.3</v>
      </c>
      <c r="R40" s="20"/>
      <c r="S40" s="70">
        <f>3*3*12</f>
        <v>108</v>
      </c>
      <c r="T40" s="20">
        <f>324+40.5</f>
        <v>364.5</v>
      </c>
      <c r="U40" s="20">
        <v>27.2</v>
      </c>
      <c r="V40" s="70">
        <v>19</v>
      </c>
      <c r="W40" s="20"/>
      <c r="X40" s="20"/>
      <c r="Y40" s="20"/>
      <c r="Z40" s="20"/>
      <c r="AA40" s="20"/>
      <c r="AB40" s="16">
        <f t="shared" si="9"/>
        <v>100</v>
      </c>
      <c r="AC40" s="20"/>
      <c r="AD40" s="70">
        <v>100</v>
      </c>
      <c r="AE40" s="20"/>
      <c r="AF40" s="80"/>
      <c r="AG40" s="23">
        <v>272.3</v>
      </c>
      <c r="AH40" s="55" t="s">
        <v>88</v>
      </c>
      <c r="AI40" s="1">
        <v>80</v>
      </c>
      <c r="AJ40" s="1">
        <v>240</v>
      </c>
      <c r="AK40" s="1">
        <f t="shared" si="21"/>
        <v>66</v>
      </c>
      <c r="AL40" s="1">
        <f t="shared" ref="AL40:AL46" si="26">AI40*AJ40*AK40</f>
        <v>1267200</v>
      </c>
      <c r="AM40" s="1">
        <f t="shared" si="22"/>
        <v>576000</v>
      </c>
      <c r="AN40" s="1">
        <f t="shared" si="23"/>
        <v>691200</v>
      </c>
      <c r="AO40" s="1">
        <f t="shared" si="24"/>
        <v>30</v>
      </c>
      <c r="AP40" s="1">
        <f t="shared" si="25"/>
        <v>36</v>
      </c>
    </row>
    <row r="41" spans="1:42" x14ac:dyDescent="0.25">
      <c r="A41" s="19" t="s">
        <v>89</v>
      </c>
      <c r="B41" s="11">
        <f t="shared" si="10"/>
        <v>1940</v>
      </c>
      <c r="C41" s="11">
        <f t="shared" si="11"/>
        <v>1589.8999999999999</v>
      </c>
      <c r="D41" s="20"/>
      <c r="E41" s="20"/>
      <c r="F41" s="20">
        <v>44.3</v>
      </c>
      <c r="G41" s="20">
        <v>26.4</v>
      </c>
      <c r="H41" s="20"/>
      <c r="I41" s="20"/>
      <c r="J41" s="20"/>
      <c r="K41" s="22">
        <f t="shared" si="5"/>
        <v>100</v>
      </c>
      <c r="L41" s="20"/>
      <c r="M41" s="20"/>
      <c r="N41" s="70">
        <v>100</v>
      </c>
      <c r="O41" s="20"/>
      <c r="P41" s="20">
        <v>777.6</v>
      </c>
      <c r="Q41" s="70">
        <v>85.3</v>
      </c>
      <c r="R41" s="20"/>
      <c r="S41" s="70">
        <f>4*3*12</f>
        <v>144</v>
      </c>
      <c r="T41" s="20">
        <v>216</v>
      </c>
      <c r="U41" s="20">
        <v>26.5</v>
      </c>
      <c r="V41" s="70">
        <v>19.8</v>
      </c>
      <c r="W41" s="20"/>
      <c r="X41" s="20"/>
      <c r="Y41" s="20"/>
      <c r="Z41" s="20"/>
      <c r="AA41" s="20"/>
      <c r="AB41" s="16">
        <f t="shared" si="9"/>
        <v>150</v>
      </c>
      <c r="AC41" s="20"/>
      <c r="AD41" s="70">
        <v>150</v>
      </c>
      <c r="AE41" s="20"/>
      <c r="AF41" s="80"/>
      <c r="AG41" s="23">
        <v>350.1</v>
      </c>
      <c r="AH41" s="55" t="s">
        <v>89</v>
      </c>
      <c r="AI41" s="1">
        <v>90</v>
      </c>
      <c r="AJ41" s="1">
        <v>240</v>
      </c>
      <c r="AK41" s="1">
        <f t="shared" si="21"/>
        <v>66</v>
      </c>
      <c r="AL41" s="1">
        <f t="shared" si="26"/>
        <v>1425600</v>
      </c>
      <c r="AM41" s="1">
        <f t="shared" si="22"/>
        <v>648000</v>
      </c>
      <c r="AN41" s="1">
        <f t="shared" si="23"/>
        <v>777600</v>
      </c>
      <c r="AO41" s="1">
        <f t="shared" si="24"/>
        <v>30</v>
      </c>
      <c r="AP41" s="1">
        <f t="shared" si="25"/>
        <v>36</v>
      </c>
    </row>
    <row r="42" spans="1:42" x14ac:dyDescent="0.25">
      <c r="A42" s="19" t="s">
        <v>90</v>
      </c>
      <c r="B42" s="11">
        <f t="shared" si="10"/>
        <v>2505.6999999999998</v>
      </c>
      <c r="C42" s="11">
        <f t="shared" si="11"/>
        <v>1992.2</v>
      </c>
      <c r="D42" s="20"/>
      <c r="E42" s="20"/>
      <c r="F42" s="20">
        <v>44.3</v>
      </c>
      <c r="G42" s="20">
        <v>26.4</v>
      </c>
      <c r="H42" s="20"/>
      <c r="I42" s="20"/>
      <c r="J42" s="20"/>
      <c r="K42" s="22">
        <f t="shared" si="5"/>
        <v>100</v>
      </c>
      <c r="L42" s="20"/>
      <c r="M42" s="20"/>
      <c r="N42" s="70">
        <v>100</v>
      </c>
      <c r="O42" s="20"/>
      <c r="P42" s="20">
        <v>1140.5</v>
      </c>
      <c r="Q42" s="70">
        <v>85.3</v>
      </c>
      <c r="R42" s="20"/>
      <c r="S42" s="70">
        <f>5*3*12</f>
        <v>180</v>
      </c>
      <c r="T42" s="20">
        <v>216</v>
      </c>
      <c r="U42" s="20">
        <v>26.5</v>
      </c>
      <c r="V42" s="70">
        <v>23.2</v>
      </c>
      <c r="W42" s="20"/>
      <c r="X42" s="20"/>
      <c r="Y42" s="20"/>
      <c r="Z42" s="20"/>
      <c r="AA42" s="20"/>
      <c r="AB42" s="16">
        <f t="shared" si="9"/>
        <v>150</v>
      </c>
      <c r="AC42" s="20"/>
      <c r="AD42" s="70">
        <v>150</v>
      </c>
      <c r="AE42" s="20"/>
      <c r="AF42" s="80"/>
      <c r="AG42" s="23">
        <v>513.5</v>
      </c>
      <c r="AH42" s="55" t="s">
        <v>90</v>
      </c>
      <c r="AI42" s="1">
        <v>132</v>
      </c>
      <c r="AJ42" s="1">
        <v>240</v>
      </c>
      <c r="AK42" s="1">
        <f t="shared" si="21"/>
        <v>66</v>
      </c>
      <c r="AL42" s="1">
        <f t="shared" si="26"/>
        <v>2090880</v>
      </c>
      <c r="AM42" s="1">
        <f t="shared" si="22"/>
        <v>950400</v>
      </c>
      <c r="AN42" s="1">
        <f t="shared" si="23"/>
        <v>1140480</v>
      </c>
      <c r="AO42" s="1">
        <f t="shared" si="24"/>
        <v>30</v>
      </c>
      <c r="AP42" s="1">
        <f t="shared" si="25"/>
        <v>36</v>
      </c>
    </row>
    <row r="43" spans="1:42" x14ac:dyDescent="0.25">
      <c r="A43" s="19" t="s">
        <v>91</v>
      </c>
      <c r="B43" s="11">
        <f t="shared" si="10"/>
        <v>2504.8000000000002</v>
      </c>
      <c r="C43" s="11">
        <f t="shared" si="11"/>
        <v>2073</v>
      </c>
      <c r="D43" s="20"/>
      <c r="E43" s="20"/>
      <c r="F43" s="20">
        <v>44.3</v>
      </c>
      <c r="G43" s="20">
        <v>26.4</v>
      </c>
      <c r="H43" s="20"/>
      <c r="I43" s="20"/>
      <c r="J43" s="20"/>
      <c r="K43" s="22">
        <f t="shared" si="5"/>
        <v>100</v>
      </c>
      <c r="L43" s="20"/>
      <c r="M43" s="20"/>
      <c r="N43" s="70">
        <v>100</v>
      </c>
      <c r="O43" s="20"/>
      <c r="P43" s="20">
        <v>1054.0999999999999</v>
      </c>
      <c r="Q43" s="70">
        <v>85.3</v>
      </c>
      <c r="R43" s="20"/>
      <c r="S43" s="70">
        <f>4*3*12</f>
        <v>144</v>
      </c>
      <c r="T43" s="20">
        <v>270</v>
      </c>
      <c r="U43" s="20">
        <v>26.5</v>
      </c>
      <c r="V43" s="70">
        <v>22.4</v>
      </c>
      <c r="W43" s="20"/>
      <c r="X43" s="20"/>
      <c r="Y43" s="20"/>
      <c r="Z43" s="20"/>
      <c r="AA43" s="20"/>
      <c r="AB43" s="16">
        <f t="shared" si="9"/>
        <v>300</v>
      </c>
      <c r="AC43" s="20"/>
      <c r="AD43" s="90">
        <v>300</v>
      </c>
      <c r="AE43" s="20"/>
      <c r="AF43" s="80"/>
      <c r="AG43" s="23">
        <v>431.8</v>
      </c>
      <c r="AH43" s="55" t="s">
        <v>91</v>
      </c>
      <c r="AI43" s="1">
        <v>122</v>
      </c>
      <c r="AJ43" s="1">
        <v>240</v>
      </c>
      <c r="AK43" s="1">
        <f t="shared" si="21"/>
        <v>66</v>
      </c>
      <c r="AL43" s="1">
        <f t="shared" si="26"/>
        <v>1932480</v>
      </c>
      <c r="AM43" s="1">
        <f t="shared" si="22"/>
        <v>878400</v>
      </c>
      <c r="AN43" s="1">
        <f t="shared" si="23"/>
        <v>1054080</v>
      </c>
      <c r="AO43" s="1">
        <f t="shared" si="24"/>
        <v>30</v>
      </c>
      <c r="AP43" s="1">
        <f t="shared" si="25"/>
        <v>36</v>
      </c>
    </row>
    <row r="44" spans="1:42" x14ac:dyDescent="0.25">
      <c r="A44" s="19" t="s">
        <v>92</v>
      </c>
      <c r="B44" s="11">
        <f t="shared" si="10"/>
        <v>1735.1</v>
      </c>
      <c r="C44" s="11">
        <f t="shared" si="11"/>
        <v>1462.8</v>
      </c>
      <c r="D44" s="20"/>
      <c r="E44" s="20"/>
      <c r="F44" s="20">
        <v>44.3</v>
      </c>
      <c r="G44" s="20">
        <v>26.4</v>
      </c>
      <c r="H44" s="20"/>
      <c r="I44" s="20"/>
      <c r="J44" s="20"/>
      <c r="K44" s="22">
        <f t="shared" si="5"/>
        <v>100</v>
      </c>
      <c r="L44" s="20"/>
      <c r="M44" s="20"/>
      <c r="N44" s="70">
        <v>100</v>
      </c>
      <c r="O44" s="20"/>
      <c r="P44" s="20">
        <v>734.4</v>
      </c>
      <c r="Q44" s="70">
        <v>85.3</v>
      </c>
      <c r="R44" s="20"/>
      <c r="S44" s="70">
        <f>3*3*12</f>
        <v>108</v>
      </c>
      <c r="T44" s="20">
        <v>216</v>
      </c>
      <c r="U44" s="20">
        <v>29</v>
      </c>
      <c r="V44" s="70">
        <v>19.399999999999999</v>
      </c>
      <c r="W44" s="20"/>
      <c r="X44" s="20"/>
      <c r="Y44" s="20"/>
      <c r="Z44" s="20"/>
      <c r="AA44" s="20"/>
      <c r="AB44" s="16">
        <f t="shared" si="9"/>
        <v>100</v>
      </c>
      <c r="AC44" s="20"/>
      <c r="AD44" s="70">
        <v>100</v>
      </c>
      <c r="AE44" s="20"/>
      <c r="AF44" s="80"/>
      <c r="AG44" s="23">
        <v>272.3</v>
      </c>
      <c r="AH44" s="55" t="s">
        <v>92</v>
      </c>
      <c r="AI44" s="1">
        <v>85</v>
      </c>
      <c r="AJ44" s="1">
        <v>240</v>
      </c>
      <c r="AK44" s="1">
        <f t="shared" si="21"/>
        <v>66</v>
      </c>
      <c r="AL44" s="1">
        <f t="shared" si="26"/>
        <v>1346400</v>
      </c>
      <c r="AM44" s="1">
        <f t="shared" si="22"/>
        <v>612000</v>
      </c>
      <c r="AN44" s="1">
        <f t="shared" si="23"/>
        <v>734400</v>
      </c>
      <c r="AO44" s="1">
        <f t="shared" si="24"/>
        <v>30</v>
      </c>
      <c r="AP44" s="1">
        <f t="shared" si="25"/>
        <v>36</v>
      </c>
    </row>
    <row r="45" spans="1:42" x14ac:dyDescent="0.25">
      <c r="A45" s="19" t="s">
        <v>93</v>
      </c>
      <c r="B45" s="11">
        <f t="shared" si="10"/>
        <v>1708.5</v>
      </c>
      <c r="C45" s="11">
        <f t="shared" si="11"/>
        <v>1416.7</v>
      </c>
      <c r="D45" s="20"/>
      <c r="E45" s="20"/>
      <c r="F45" s="20">
        <v>44.3</v>
      </c>
      <c r="G45" s="20">
        <v>26.4</v>
      </c>
      <c r="H45" s="20"/>
      <c r="I45" s="20"/>
      <c r="J45" s="20"/>
      <c r="K45" s="22">
        <f t="shared" si="5"/>
        <v>100</v>
      </c>
      <c r="L45" s="20"/>
      <c r="M45" s="20"/>
      <c r="N45" s="70">
        <v>100</v>
      </c>
      <c r="O45" s="20"/>
      <c r="P45" s="20">
        <v>691.2</v>
      </c>
      <c r="Q45" s="70">
        <v>85.3</v>
      </c>
      <c r="R45" s="20"/>
      <c r="S45" s="70">
        <f>3*3*12</f>
        <v>108</v>
      </c>
      <c r="T45" s="20">
        <v>216</v>
      </c>
      <c r="U45" s="20">
        <v>26.5</v>
      </c>
      <c r="V45" s="70">
        <v>19</v>
      </c>
      <c r="W45" s="20"/>
      <c r="X45" s="20"/>
      <c r="Y45" s="20"/>
      <c r="Z45" s="20"/>
      <c r="AA45" s="20"/>
      <c r="AB45" s="16">
        <f t="shared" si="9"/>
        <v>100</v>
      </c>
      <c r="AC45" s="20"/>
      <c r="AD45" s="70">
        <v>100</v>
      </c>
      <c r="AE45" s="20"/>
      <c r="AF45" s="80"/>
      <c r="AG45" s="23">
        <v>291.8</v>
      </c>
      <c r="AH45" s="55" t="s">
        <v>93</v>
      </c>
      <c r="AI45" s="1">
        <v>80</v>
      </c>
      <c r="AJ45" s="1">
        <v>240</v>
      </c>
      <c r="AK45" s="1">
        <f t="shared" si="21"/>
        <v>66</v>
      </c>
      <c r="AL45" s="1">
        <f t="shared" si="26"/>
        <v>1267200</v>
      </c>
      <c r="AM45" s="1">
        <f t="shared" si="22"/>
        <v>576000</v>
      </c>
      <c r="AN45" s="1">
        <f t="shared" si="23"/>
        <v>691200</v>
      </c>
      <c r="AO45" s="1">
        <f t="shared" si="24"/>
        <v>30</v>
      </c>
      <c r="AP45" s="1">
        <f t="shared" si="25"/>
        <v>36</v>
      </c>
    </row>
    <row r="46" spans="1:42" x14ac:dyDescent="0.25">
      <c r="A46" s="19" t="s">
        <v>94</v>
      </c>
      <c r="B46" s="11">
        <f t="shared" si="10"/>
        <v>1775.6</v>
      </c>
      <c r="C46" s="11">
        <f t="shared" si="11"/>
        <v>1503.3</v>
      </c>
      <c r="D46" s="20"/>
      <c r="E46" s="20"/>
      <c r="F46" s="20">
        <v>44.3</v>
      </c>
      <c r="G46" s="20">
        <v>26.4</v>
      </c>
      <c r="H46" s="20"/>
      <c r="I46" s="20"/>
      <c r="J46" s="20"/>
      <c r="K46" s="22">
        <f t="shared" si="5"/>
        <v>100</v>
      </c>
      <c r="L46" s="20"/>
      <c r="M46" s="20"/>
      <c r="N46" s="70">
        <v>100</v>
      </c>
      <c r="O46" s="20"/>
      <c r="P46" s="20">
        <v>734.4</v>
      </c>
      <c r="Q46" s="70">
        <v>85.3</v>
      </c>
      <c r="R46" s="20"/>
      <c r="S46" s="70">
        <f>3*3*12</f>
        <v>108</v>
      </c>
      <c r="T46" s="20">
        <f>216+40.5</f>
        <v>256.5</v>
      </c>
      <c r="U46" s="20">
        <v>29</v>
      </c>
      <c r="V46" s="70">
        <v>19.399999999999999</v>
      </c>
      <c r="W46" s="20"/>
      <c r="X46" s="20"/>
      <c r="Y46" s="20"/>
      <c r="Z46" s="20"/>
      <c r="AA46" s="20"/>
      <c r="AB46" s="16">
        <f t="shared" si="9"/>
        <v>100</v>
      </c>
      <c r="AC46" s="20"/>
      <c r="AD46" s="70">
        <v>100</v>
      </c>
      <c r="AE46" s="20"/>
      <c r="AF46" s="80"/>
      <c r="AG46" s="23">
        <v>272.3</v>
      </c>
      <c r="AH46" s="55" t="s">
        <v>94</v>
      </c>
      <c r="AI46" s="1">
        <v>85</v>
      </c>
      <c r="AJ46" s="1">
        <v>240</v>
      </c>
      <c r="AK46" s="1">
        <f t="shared" si="21"/>
        <v>66</v>
      </c>
      <c r="AL46" s="1">
        <f t="shared" si="26"/>
        <v>1346400</v>
      </c>
      <c r="AM46" s="1">
        <f t="shared" si="22"/>
        <v>612000</v>
      </c>
      <c r="AN46" s="1">
        <f t="shared" si="23"/>
        <v>734400</v>
      </c>
      <c r="AO46" s="1">
        <f t="shared" si="24"/>
        <v>30</v>
      </c>
      <c r="AP46" s="1">
        <f t="shared" si="25"/>
        <v>36</v>
      </c>
    </row>
    <row r="47" spans="1:42" x14ac:dyDescent="0.25">
      <c r="A47" s="19" t="s">
        <v>95</v>
      </c>
      <c r="B47" s="11">
        <f t="shared" si="10"/>
        <v>1190.5999999999999</v>
      </c>
      <c r="C47" s="11">
        <f t="shared" si="11"/>
        <v>1023.3</v>
      </c>
      <c r="D47" s="20"/>
      <c r="E47" s="20"/>
      <c r="F47" s="20">
        <v>44.3</v>
      </c>
      <c r="G47" s="20">
        <v>26.4</v>
      </c>
      <c r="H47" s="20"/>
      <c r="I47" s="20"/>
      <c r="J47" s="20"/>
      <c r="K47" s="22">
        <f t="shared" si="5"/>
        <v>100</v>
      </c>
      <c r="L47" s="20"/>
      <c r="M47" s="20"/>
      <c r="N47" s="70">
        <v>100</v>
      </c>
      <c r="O47" s="20"/>
      <c r="P47" s="20">
        <v>371.5</v>
      </c>
      <c r="Q47" s="70">
        <v>85.3</v>
      </c>
      <c r="R47" s="20"/>
      <c r="S47" s="70">
        <f>2*3*12</f>
        <v>72</v>
      </c>
      <c r="T47" s="20">
        <v>180</v>
      </c>
      <c r="U47" s="20">
        <v>27.9</v>
      </c>
      <c r="V47" s="70">
        <v>15.9</v>
      </c>
      <c r="W47" s="20"/>
      <c r="X47" s="20"/>
      <c r="Y47" s="20"/>
      <c r="Z47" s="20"/>
      <c r="AA47" s="20"/>
      <c r="AB47" s="16">
        <f t="shared" si="9"/>
        <v>100</v>
      </c>
      <c r="AC47" s="20"/>
      <c r="AD47" s="70">
        <v>100</v>
      </c>
      <c r="AE47" s="20"/>
      <c r="AF47" s="80"/>
      <c r="AG47" s="23">
        <v>167.3</v>
      </c>
      <c r="AH47" s="55" t="s">
        <v>95</v>
      </c>
      <c r="AI47" s="1">
        <v>43</v>
      </c>
      <c r="AJ47" s="1">
        <v>240</v>
      </c>
      <c r="AK47" s="1">
        <f t="shared" si="21"/>
        <v>66</v>
      </c>
      <c r="AL47" s="1">
        <f t="shared" ref="AL47:AL52" si="27">AI47*AJ47*AK47</f>
        <v>681120</v>
      </c>
      <c r="AM47" s="1">
        <f t="shared" si="22"/>
        <v>309600</v>
      </c>
      <c r="AN47" s="1">
        <f t="shared" ref="AN47:AN52" si="28">AL47-AM47</f>
        <v>371520</v>
      </c>
      <c r="AO47" s="1">
        <f t="shared" ref="AO47:AO52" si="29">AM47/AI47/AJ47</f>
        <v>30</v>
      </c>
      <c r="AP47" s="1">
        <f t="shared" ref="AP47:AP52" si="30">AN47/AI47/AJ47</f>
        <v>36</v>
      </c>
    </row>
    <row r="48" spans="1:42" ht="36.75" x14ac:dyDescent="0.25">
      <c r="A48" s="19" t="s">
        <v>96</v>
      </c>
      <c r="B48" s="11">
        <f t="shared" si="10"/>
        <v>80.3</v>
      </c>
      <c r="C48" s="11">
        <f t="shared" si="11"/>
        <v>80.3</v>
      </c>
      <c r="D48" s="20"/>
      <c r="E48" s="20"/>
      <c r="F48" s="20">
        <v>44.3</v>
      </c>
      <c r="G48" s="20"/>
      <c r="H48" s="20"/>
      <c r="I48" s="20"/>
      <c r="J48" s="20"/>
      <c r="K48" s="22">
        <f t="shared" si="5"/>
        <v>0</v>
      </c>
      <c r="L48" s="20"/>
      <c r="M48" s="20"/>
      <c r="N48" s="70"/>
      <c r="O48" s="20"/>
      <c r="P48" s="20"/>
      <c r="Q48" s="70"/>
      <c r="R48" s="20"/>
      <c r="S48" s="70">
        <f>3*1*12</f>
        <v>36</v>
      </c>
      <c r="T48" s="20"/>
      <c r="U48" s="20"/>
      <c r="V48" s="70"/>
      <c r="W48" s="20"/>
      <c r="X48" s="20"/>
      <c r="Y48" s="20"/>
      <c r="Z48" s="20"/>
      <c r="AA48" s="20"/>
      <c r="AB48" s="16">
        <f t="shared" si="9"/>
        <v>0</v>
      </c>
      <c r="AC48" s="20"/>
      <c r="AD48" s="70"/>
      <c r="AE48" s="20"/>
      <c r="AF48" s="80"/>
      <c r="AG48" s="23">
        <f t="shared" ref="AG48" si="31">AM48*64.8366%</f>
        <v>0</v>
      </c>
      <c r="AH48" s="56" t="s">
        <v>96</v>
      </c>
      <c r="AJ48" s="1">
        <v>240</v>
      </c>
      <c r="AK48" s="1">
        <f t="shared" si="21"/>
        <v>66</v>
      </c>
      <c r="AL48" s="1">
        <f t="shared" si="27"/>
        <v>0</v>
      </c>
      <c r="AM48" s="1">
        <f t="shared" si="22"/>
        <v>0</v>
      </c>
      <c r="AN48" s="1">
        <f t="shared" si="28"/>
        <v>0</v>
      </c>
      <c r="AO48" s="1" t="e">
        <f t="shared" si="29"/>
        <v>#DIV/0!</v>
      </c>
      <c r="AP48" s="1" t="e">
        <f t="shared" si="30"/>
        <v>#DIV/0!</v>
      </c>
    </row>
    <row r="49" spans="1:43" x14ac:dyDescent="0.25">
      <c r="A49" s="19" t="s">
        <v>97</v>
      </c>
      <c r="B49" s="11">
        <f t="shared" si="10"/>
        <v>1217</v>
      </c>
      <c r="C49" s="11">
        <f t="shared" si="11"/>
        <v>1041.9000000000001</v>
      </c>
      <c r="D49" s="20"/>
      <c r="E49" s="20"/>
      <c r="F49" s="20">
        <v>44.3</v>
      </c>
      <c r="G49" s="20">
        <v>26.4</v>
      </c>
      <c r="H49" s="20"/>
      <c r="I49" s="20"/>
      <c r="J49" s="20"/>
      <c r="K49" s="22">
        <f t="shared" si="5"/>
        <v>100</v>
      </c>
      <c r="L49" s="20"/>
      <c r="M49" s="20"/>
      <c r="N49" s="70">
        <v>100</v>
      </c>
      <c r="O49" s="20"/>
      <c r="P49" s="20">
        <v>388.8</v>
      </c>
      <c r="Q49" s="70">
        <v>85.3</v>
      </c>
      <c r="R49" s="20"/>
      <c r="S49" s="70">
        <f>2*3*12</f>
        <v>72</v>
      </c>
      <c r="T49" s="20">
        <v>180</v>
      </c>
      <c r="U49" s="20">
        <v>29</v>
      </c>
      <c r="V49" s="70">
        <v>16.100000000000001</v>
      </c>
      <c r="W49" s="20"/>
      <c r="X49" s="20"/>
      <c r="Y49" s="20"/>
      <c r="Z49" s="20"/>
      <c r="AA49" s="20"/>
      <c r="AB49" s="16">
        <f t="shared" si="9"/>
        <v>100</v>
      </c>
      <c r="AC49" s="20"/>
      <c r="AD49" s="70">
        <v>100</v>
      </c>
      <c r="AE49" s="20"/>
      <c r="AF49" s="80"/>
      <c r="AG49" s="23">
        <v>175.1</v>
      </c>
      <c r="AH49" s="55" t="s">
        <v>97</v>
      </c>
      <c r="AI49" s="1">
        <v>45</v>
      </c>
      <c r="AJ49" s="1">
        <v>240</v>
      </c>
      <c r="AK49" s="1">
        <f t="shared" si="21"/>
        <v>66</v>
      </c>
      <c r="AL49" s="1">
        <f t="shared" si="27"/>
        <v>712800</v>
      </c>
      <c r="AM49" s="1">
        <f t="shared" si="22"/>
        <v>324000</v>
      </c>
      <c r="AN49" s="1">
        <f t="shared" si="28"/>
        <v>388800</v>
      </c>
      <c r="AO49" s="1">
        <f t="shared" si="29"/>
        <v>30</v>
      </c>
      <c r="AP49" s="1">
        <f t="shared" si="30"/>
        <v>36</v>
      </c>
    </row>
    <row r="50" spans="1:43" x14ac:dyDescent="0.25">
      <c r="A50" s="19" t="s">
        <v>98</v>
      </c>
      <c r="B50" s="11">
        <f t="shared" si="10"/>
        <v>1166.5</v>
      </c>
      <c r="C50" s="11">
        <f t="shared" si="11"/>
        <v>1006.9999999999999</v>
      </c>
      <c r="D50" s="20"/>
      <c r="E50" s="20"/>
      <c r="F50" s="20">
        <v>44.3</v>
      </c>
      <c r="G50" s="20">
        <v>26.4</v>
      </c>
      <c r="H50" s="20"/>
      <c r="I50" s="20"/>
      <c r="J50" s="20"/>
      <c r="K50" s="22">
        <f t="shared" si="5"/>
        <v>100</v>
      </c>
      <c r="L50" s="20"/>
      <c r="M50" s="20"/>
      <c r="N50" s="70">
        <v>100</v>
      </c>
      <c r="O50" s="20"/>
      <c r="P50" s="20">
        <v>354.2</v>
      </c>
      <c r="Q50" s="70">
        <v>85.3</v>
      </c>
      <c r="R50" s="20"/>
      <c r="S50" s="70">
        <f>2*3*12</f>
        <v>72</v>
      </c>
      <c r="T50" s="20">
        <v>180</v>
      </c>
      <c r="U50" s="20">
        <v>29</v>
      </c>
      <c r="V50" s="70">
        <v>15.8</v>
      </c>
      <c r="W50" s="20"/>
      <c r="X50" s="20"/>
      <c r="Y50" s="20"/>
      <c r="Z50" s="20"/>
      <c r="AA50" s="20"/>
      <c r="AB50" s="16">
        <f t="shared" si="9"/>
        <v>100</v>
      </c>
      <c r="AC50" s="20"/>
      <c r="AD50" s="70">
        <v>100</v>
      </c>
      <c r="AE50" s="20"/>
      <c r="AF50" s="80"/>
      <c r="AG50" s="23">
        <v>159.5</v>
      </c>
      <c r="AH50" s="55" t="s">
        <v>98</v>
      </c>
      <c r="AI50" s="1">
        <v>41</v>
      </c>
      <c r="AJ50" s="1">
        <v>240</v>
      </c>
      <c r="AK50" s="1">
        <f t="shared" si="21"/>
        <v>66</v>
      </c>
      <c r="AL50" s="1">
        <f t="shared" si="27"/>
        <v>649440</v>
      </c>
      <c r="AM50" s="1">
        <f t="shared" si="22"/>
        <v>295200</v>
      </c>
      <c r="AN50" s="1">
        <f t="shared" si="28"/>
        <v>354240</v>
      </c>
      <c r="AO50" s="1">
        <f t="shared" si="29"/>
        <v>30</v>
      </c>
      <c r="AP50" s="1">
        <f t="shared" si="30"/>
        <v>36</v>
      </c>
    </row>
    <row r="51" spans="1:43" x14ac:dyDescent="0.25">
      <c r="A51" s="19" t="s">
        <v>99</v>
      </c>
      <c r="B51" s="11">
        <f t="shared" si="10"/>
        <v>1921.9</v>
      </c>
      <c r="C51" s="11">
        <f t="shared" si="11"/>
        <v>1657.4</v>
      </c>
      <c r="D51" s="20"/>
      <c r="E51" s="20"/>
      <c r="F51" s="20">
        <v>44.3</v>
      </c>
      <c r="G51" s="20">
        <v>26.4</v>
      </c>
      <c r="H51" s="20"/>
      <c r="I51" s="20"/>
      <c r="J51" s="20"/>
      <c r="K51" s="22">
        <f t="shared" si="5"/>
        <v>100</v>
      </c>
      <c r="L51" s="20"/>
      <c r="M51" s="20"/>
      <c r="N51" s="70">
        <v>100</v>
      </c>
      <c r="O51" s="20"/>
      <c r="P51" s="20">
        <v>743</v>
      </c>
      <c r="Q51" s="70">
        <v>85.3</v>
      </c>
      <c r="R51" s="20"/>
      <c r="S51" s="70">
        <f t="shared" ref="S51" si="32">3*3*12</f>
        <v>108</v>
      </c>
      <c r="T51" s="20">
        <v>252</v>
      </c>
      <c r="U51" s="20">
        <v>29</v>
      </c>
      <c r="V51" s="70">
        <v>19.399999999999999</v>
      </c>
      <c r="W51" s="20"/>
      <c r="X51" s="20"/>
      <c r="Y51" s="20"/>
      <c r="Z51" s="20"/>
      <c r="AA51" s="20"/>
      <c r="AB51" s="16">
        <f t="shared" si="9"/>
        <v>250</v>
      </c>
      <c r="AC51" s="20"/>
      <c r="AD51" s="70">
        <v>250</v>
      </c>
      <c r="AE51" s="20"/>
      <c r="AF51" s="80"/>
      <c r="AG51" s="23">
        <v>264.5</v>
      </c>
      <c r="AH51" s="55" t="s">
        <v>99</v>
      </c>
      <c r="AI51" s="1">
        <v>86</v>
      </c>
      <c r="AJ51" s="1">
        <v>240</v>
      </c>
      <c r="AK51" s="1">
        <f t="shared" si="21"/>
        <v>66</v>
      </c>
      <c r="AL51" s="1">
        <f t="shared" si="27"/>
        <v>1362240</v>
      </c>
      <c r="AM51" s="1">
        <f t="shared" si="22"/>
        <v>619200</v>
      </c>
      <c r="AN51" s="1">
        <f t="shared" si="28"/>
        <v>743040</v>
      </c>
      <c r="AO51" s="1">
        <f t="shared" si="29"/>
        <v>30</v>
      </c>
      <c r="AP51" s="1">
        <f t="shared" si="30"/>
        <v>36</v>
      </c>
    </row>
    <row r="52" spans="1:43" x14ac:dyDescent="0.25">
      <c r="A52" s="19" t="s">
        <v>100</v>
      </c>
      <c r="B52" s="11">
        <f t="shared" si="10"/>
        <v>1846</v>
      </c>
      <c r="C52" s="11">
        <f t="shared" si="11"/>
        <v>1534.8</v>
      </c>
      <c r="D52" s="20"/>
      <c r="E52" s="20"/>
      <c r="F52" s="20">
        <v>44.3</v>
      </c>
      <c r="G52" s="20">
        <v>26.4</v>
      </c>
      <c r="H52" s="20"/>
      <c r="I52" s="20"/>
      <c r="J52" s="20"/>
      <c r="K52" s="22">
        <f t="shared" si="5"/>
        <v>100</v>
      </c>
      <c r="L52" s="20"/>
      <c r="M52" s="20"/>
      <c r="N52" s="70">
        <v>100</v>
      </c>
      <c r="O52" s="20"/>
      <c r="P52" s="20">
        <v>734.4</v>
      </c>
      <c r="Q52" s="70">
        <v>85.3</v>
      </c>
      <c r="R52" s="20"/>
      <c r="S52" s="70">
        <f>4*3*12</f>
        <v>144</v>
      </c>
      <c r="T52" s="20">
        <v>252</v>
      </c>
      <c r="U52" s="20">
        <v>29</v>
      </c>
      <c r="V52" s="70">
        <v>19.399999999999999</v>
      </c>
      <c r="W52" s="20"/>
      <c r="X52" s="20"/>
      <c r="Y52" s="20"/>
      <c r="Z52" s="20"/>
      <c r="AA52" s="20"/>
      <c r="AB52" s="16">
        <f t="shared" si="9"/>
        <v>100</v>
      </c>
      <c r="AC52" s="20"/>
      <c r="AD52" s="70">
        <v>100</v>
      </c>
      <c r="AE52" s="20"/>
      <c r="AF52" s="80"/>
      <c r="AG52" s="23">
        <v>311.2</v>
      </c>
      <c r="AH52" s="55" t="s">
        <v>100</v>
      </c>
      <c r="AI52" s="1">
        <v>85</v>
      </c>
      <c r="AJ52" s="1">
        <v>240</v>
      </c>
      <c r="AK52" s="1">
        <f t="shared" si="21"/>
        <v>66</v>
      </c>
      <c r="AL52" s="1">
        <f t="shared" si="27"/>
        <v>1346400</v>
      </c>
      <c r="AM52" s="1">
        <f t="shared" si="22"/>
        <v>612000</v>
      </c>
      <c r="AN52" s="1">
        <f t="shared" si="28"/>
        <v>734400</v>
      </c>
      <c r="AO52" s="1">
        <f t="shared" si="29"/>
        <v>30</v>
      </c>
      <c r="AP52" s="1">
        <f t="shared" si="30"/>
        <v>36</v>
      </c>
    </row>
    <row r="53" spans="1:43" x14ac:dyDescent="0.25">
      <c r="A53" s="26" t="s">
        <v>56</v>
      </c>
      <c r="B53" s="11">
        <f t="shared" si="10"/>
        <v>24987.100000000002</v>
      </c>
      <c r="C53" s="11">
        <f t="shared" si="11"/>
        <v>21019.100000000002</v>
      </c>
      <c r="D53" s="15">
        <f t="shared" ref="D53:J53" si="33">SUM(D38:D52)</f>
        <v>0</v>
      </c>
      <c r="E53" s="15">
        <f t="shared" si="33"/>
        <v>0</v>
      </c>
      <c r="F53" s="15">
        <f t="shared" si="33"/>
        <v>664.49999999999989</v>
      </c>
      <c r="G53" s="15">
        <f t="shared" si="33"/>
        <v>369.59999999999991</v>
      </c>
      <c r="H53" s="15">
        <f t="shared" si="33"/>
        <v>0</v>
      </c>
      <c r="I53" s="15">
        <f t="shared" si="33"/>
        <v>0</v>
      </c>
      <c r="J53" s="15">
        <f t="shared" si="33"/>
        <v>0</v>
      </c>
      <c r="K53" s="15">
        <f>SUM(L53:N53)</f>
        <v>1400</v>
      </c>
      <c r="L53" s="15">
        <f t="shared" ref="L53:AA53" si="34">SUM(L38:L52)</f>
        <v>0</v>
      </c>
      <c r="M53" s="15">
        <f t="shared" si="34"/>
        <v>0</v>
      </c>
      <c r="N53" s="71">
        <f t="shared" si="34"/>
        <v>1400</v>
      </c>
      <c r="O53" s="15">
        <f t="shared" si="34"/>
        <v>0</v>
      </c>
      <c r="P53" s="15">
        <f t="shared" si="34"/>
        <v>9581.6999999999989</v>
      </c>
      <c r="Q53" s="71">
        <f t="shared" si="34"/>
        <v>1226.1999999999996</v>
      </c>
      <c r="R53" s="15">
        <f t="shared" si="34"/>
        <v>0</v>
      </c>
      <c r="S53" s="71">
        <f t="shared" si="34"/>
        <v>1656</v>
      </c>
      <c r="T53" s="15">
        <f t="shared" si="34"/>
        <v>3496.5</v>
      </c>
      <c r="U53" s="15">
        <f t="shared" si="34"/>
        <v>409.9</v>
      </c>
      <c r="V53" s="71">
        <f t="shared" si="34"/>
        <v>264.70000000000005</v>
      </c>
      <c r="W53" s="15">
        <f t="shared" si="34"/>
        <v>0</v>
      </c>
      <c r="X53" s="15">
        <f t="shared" si="34"/>
        <v>0</v>
      </c>
      <c r="Y53" s="15"/>
      <c r="Z53" s="15">
        <f t="shared" si="34"/>
        <v>0</v>
      </c>
      <c r="AA53" s="15">
        <f t="shared" si="34"/>
        <v>0</v>
      </c>
      <c r="AB53" s="16">
        <f t="shared" si="9"/>
        <v>1950</v>
      </c>
      <c r="AC53" s="15">
        <f>SUM(AC38:AC52)</f>
        <v>0</v>
      </c>
      <c r="AD53" s="71">
        <f>SUM(AD38:AD52)</f>
        <v>1950</v>
      </c>
      <c r="AE53" s="15">
        <f>SUM(AE38:AE52)</f>
        <v>0</v>
      </c>
      <c r="AF53" s="81"/>
      <c r="AG53" s="27">
        <f>SUM(AG38:AG52)</f>
        <v>3968.0000000000005</v>
      </c>
      <c r="AH53" s="48" t="s">
        <v>56</v>
      </c>
      <c r="AI53" s="1">
        <f>SUM(AI38:AI52)</f>
        <v>1109</v>
      </c>
      <c r="AJ53" s="1">
        <v>240</v>
      </c>
      <c r="AK53" s="1">
        <f t="shared" si="21"/>
        <v>66</v>
      </c>
      <c r="AL53" s="1">
        <f>SUM(AL38:AL52)</f>
        <v>17566560</v>
      </c>
      <c r="AM53" s="1">
        <f>SUM(AM38:AM52)</f>
        <v>7984800</v>
      </c>
      <c r="AN53" s="1">
        <f>SUM(AN38:AN52)</f>
        <v>9581760</v>
      </c>
      <c r="AO53" s="1">
        <f t="shared" si="24"/>
        <v>30</v>
      </c>
      <c r="AP53" s="1">
        <f>AN53/AI53/AJ53</f>
        <v>36</v>
      </c>
      <c r="AQ53" s="5">
        <f>1600000/AM53%</f>
        <v>20.03807233744114</v>
      </c>
    </row>
    <row r="54" spans="1:43" x14ac:dyDescent="0.25">
      <c r="A54" s="19" t="s">
        <v>57</v>
      </c>
      <c r="B54" s="11">
        <f t="shared" si="10"/>
        <v>797.5</v>
      </c>
      <c r="C54" s="11">
        <f t="shared" si="11"/>
        <v>797.5</v>
      </c>
      <c r="D54" s="20"/>
      <c r="E54" s="20"/>
      <c r="F54" s="20"/>
      <c r="G54" s="20">
        <v>2.4</v>
      </c>
      <c r="H54" s="20"/>
      <c r="I54" s="20"/>
      <c r="J54" s="20"/>
      <c r="K54" s="22">
        <f t="shared" si="5"/>
        <v>124.7</v>
      </c>
      <c r="L54" s="20"/>
      <c r="M54" s="20"/>
      <c r="N54" s="70">
        <v>124.7</v>
      </c>
      <c r="O54" s="20"/>
      <c r="P54" s="20"/>
      <c r="Q54" s="70">
        <v>100</v>
      </c>
      <c r="R54" s="20"/>
      <c r="S54" s="70">
        <v>100</v>
      </c>
      <c r="T54" s="20">
        <f>216+40.5</f>
        <v>256.5</v>
      </c>
      <c r="U54" s="20">
        <v>29</v>
      </c>
      <c r="V54" s="70">
        <v>34.9</v>
      </c>
      <c r="W54" s="20"/>
      <c r="X54" s="20"/>
      <c r="Y54" s="20"/>
      <c r="Z54" s="20"/>
      <c r="AA54" s="20"/>
      <c r="AB54" s="16">
        <f t="shared" si="9"/>
        <v>150</v>
      </c>
      <c r="AC54" s="20"/>
      <c r="AD54" s="70">
        <v>150</v>
      </c>
      <c r="AE54" s="20"/>
      <c r="AF54" s="80"/>
      <c r="AG54" s="23"/>
      <c r="AH54" s="24"/>
      <c r="AI54" s="1">
        <f>AI56+AI55</f>
        <v>17566560</v>
      </c>
      <c r="AJ54" s="1" t="s">
        <v>58</v>
      </c>
      <c r="AM54" s="5">
        <f>AI54/AJ53/AI53</f>
        <v>66</v>
      </c>
      <c r="AN54" s="1" t="s">
        <v>59</v>
      </c>
    </row>
    <row r="55" spans="1:43" x14ac:dyDescent="0.25">
      <c r="A55" s="26" t="s">
        <v>61</v>
      </c>
      <c r="B55" s="11">
        <f t="shared" si="10"/>
        <v>797.5</v>
      </c>
      <c r="C55" s="11">
        <f t="shared" si="11"/>
        <v>797.5</v>
      </c>
      <c r="D55" s="15">
        <f t="shared" ref="D55:J55" si="35">SUM(D54:D54)</f>
        <v>0</v>
      </c>
      <c r="E55" s="15">
        <f t="shared" si="35"/>
        <v>0</v>
      </c>
      <c r="F55" s="15">
        <f t="shared" si="35"/>
        <v>0</v>
      </c>
      <c r="G55" s="15">
        <f t="shared" si="35"/>
        <v>2.4</v>
      </c>
      <c r="H55" s="15">
        <f t="shared" si="35"/>
        <v>0</v>
      </c>
      <c r="I55" s="15">
        <f t="shared" si="35"/>
        <v>0</v>
      </c>
      <c r="J55" s="15">
        <f t="shared" si="35"/>
        <v>0</v>
      </c>
      <c r="K55" s="15">
        <f>SUM(L55:N55)</f>
        <v>124.7</v>
      </c>
      <c r="L55" s="15">
        <f t="shared" ref="L55:X55" si="36">SUM(L54:L54)</f>
        <v>0</v>
      </c>
      <c r="M55" s="15">
        <f t="shared" si="36"/>
        <v>0</v>
      </c>
      <c r="N55" s="71">
        <f>SUM(N54:N54)</f>
        <v>124.7</v>
      </c>
      <c r="O55" s="15">
        <f t="shared" si="36"/>
        <v>0</v>
      </c>
      <c r="P55" s="15">
        <f t="shared" si="36"/>
        <v>0</v>
      </c>
      <c r="Q55" s="71">
        <f t="shared" si="36"/>
        <v>100</v>
      </c>
      <c r="R55" s="15">
        <f t="shared" si="36"/>
        <v>0</v>
      </c>
      <c r="S55" s="71">
        <f t="shared" si="36"/>
        <v>100</v>
      </c>
      <c r="T55" s="15">
        <f t="shared" si="36"/>
        <v>256.5</v>
      </c>
      <c r="U55" s="15">
        <f t="shared" si="36"/>
        <v>29</v>
      </c>
      <c r="V55" s="71">
        <f t="shared" si="36"/>
        <v>34.9</v>
      </c>
      <c r="W55" s="15">
        <f t="shared" si="36"/>
        <v>0</v>
      </c>
      <c r="X55" s="15">
        <f t="shared" si="36"/>
        <v>0</v>
      </c>
      <c r="Y55" s="15"/>
      <c r="Z55" s="15"/>
      <c r="AA55" s="15">
        <f>SUM(AA54:AA54)</f>
        <v>0</v>
      </c>
      <c r="AB55" s="16">
        <f t="shared" si="9"/>
        <v>150</v>
      </c>
      <c r="AC55" s="15">
        <f>SUM(AC54:AC54)</f>
        <v>0</v>
      </c>
      <c r="AD55" s="71">
        <f>SUM(AD54:AD54)</f>
        <v>150</v>
      </c>
      <c r="AE55" s="15">
        <f>SUM(AE54:AE54)</f>
        <v>0</v>
      </c>
      <c r="AF55" s="81"/>
      <c r="AG55" s="27">
        <f>SUM(AG54:AG54)</f>
        <v>0</v>
      </c>
      <c r="AH55" s="28"/>
      <c r="AI55" s="1">
        <f>AN53</f>
        <v>9581760</v>
      </c>
      <c r="AJ55" s="1" t="s">
        <v>62</v>
      </c>
      <c r="AM55" s="5">
        <f>AI55/AJ53/AI53</f>
        <v>36</v>
      </c>
      <c r="AN55" s="1" t="s">
        <v>63</v>
      </c>
    </row>
    <row r="56" spans="1:43" x14ac:dyDescent="0.25">
      <c r="A56" s="19" t="s">
        <v>111</v>
      </c>
      <c r="B56" s="11">
        <f t="shared" si="10"/>
        <v>891.9</v>
      </c>
      <c r="C56" s="11">
        <f t="shared" si="11"/>
        <v>891.9</v>
      </c>
      <c r="D56" s="20"/>
      <c r="E56" s="20"/>
      <c r="F56" s="20"/>
      <c r="G56" s="20">
        <v>2.4</v>
      </c>
      <c r="H56" s="20"/>
      <c r="I56" s="20"/>
      <c r="J56" s="20"/>
      <c r="K56" s="22">
        <f t="shared" ref="K56:K57" si="37">SUM(L56:N56)</f>
        <v>110</v>
      </c>
      <c r="L56" s="20"/>
      <c r="M56" s="20"/>
      <c r="N56" s="70">
        <v>110</v>
      </c>
      <c r="O56" s="20"/>
      <c r="P56" s="20"/>
      <c r="Q56" s="70">
        <v>100</v>
      </c>
      <c r="R56" s="20"/>
      <c r="S56" s="70">
        <v>100</v>
      </c>
      <c r="T56" s="20">
        <v>432</v>
      </c>
      <c r="U56" s="20">
        <v>50.8</v>
      </c>
      <c r="V56" s="70">
        <v>26.7</v>
      </c>
      <c r="W56" s="20"/>
      <c r="X56" s="20"/>
      <c r="Y56" s="20"/>
      <c r="Z56" s="20"/>
      <c r="AA56" s="20"/>
      <c r="AB56" s="16">
        <f t="shared" si="9"/>
        <v>70</v>
      </c>
      <c r="AC56" s="20"/>
      <c r="AD56" s="70">
        <v>70</v>
      </c>
      <c r="AE56" s="20"/>
      <c r="AF56" s="80"/>
      <c r="AG56" s="23"/>
      <c r="AH56" s="24"/>
      <c r="AI56" s="1">
        <f>AM53</f>
        <v>7984800</v>
      </c>
      <c r="AJ56" s="1" t="s">
        <v>54</v>
      </c>
      <c r="AM56" s="5">
        <f>AI56/AJ53/AI53</f>
        <v>30</v>
      </c>
      <c r="AN56" s="1" t="s">
        <v>60</v>
      </c>
      <c r="AO56" s="171"/>
      <c r="AP56" s="171"/>
    </row>
    <row r="57" spans="1:43" x14ac:dyDescent="0.25">
      <c r="A57" s="19" t="s">
        <v>112</v>
      </c>
      <c r="B57" s="11">
        <f t="shared" si="10"/>
        <v>977.19999999999993</v>
      </c>
      <c r="C57" s="11">
        <f t="shared" si="11"/>
        <v>977.19999999999993</v>
      </c>
      <c r="D57" s="20"/>
      <c r="E57" s="20"/>
      <c r="F57" s="20"/>
      <c r="G57" s="20">
        <v>2.4</v>
      </c>
      <c r="H57" s="20"/>
      <c r="I57" s="20"/>
      <c r="J57" s="20"/>
      <c r="K57" s="22">
        <f t="shared" si="37"/>
        <v>120</v>
      </c>
      <c r="L57" s="20"/>
      <c r="M57" s="20"/>
      <c r="N57" s="70">
        <v>120</v>
      </c>
      <c r="O57" s="20"/>
      <c r="P57" s="20"/>
      <c r="Q57" s="70">
        <v>100</v>
      </c>
      <c r="R57" s="20"/>
      <c r="S57" s="70">
        <v>100</v>
      </c>
      <c r="T57" s="20">
        <f>432+81</f>
        <v>513</v>
      </c>
      <c r="U57" s="20">
        <v>50.8</v>
      </c>
      <c r="V57" s="70">
        <v>21</v>
      </c>
      <c r="W57" s="20"/>
      <c r="X57" s="20"/>
      <c r="Y57" s="20"/>
      <c r="Z57" s="20"/>
      <c r="AA57" s="20"/>
      <c r="AB57" s="16">
        <f t="shared" si="9"/>
        <v>70</v>
      </c>
      <c r="AC57" s="20"/>
      <c r="AD57" s="70">
        <v>70</v>
      </c>
      <c r="AE57" s="20"/>
      <c r="AF57" s="80"/>
      <c r="AG57" s="23"/>
      <c r="AH57" s="24"/>
      <c r="AL57" s="37"/>
      <c r="AM57" s="5">
        <f>AM55-AM56</f>
        <v>6</v>
      </c>
      <c r="AN57" s="1" t="s">
        <v>65</v>
      </c>
    </row>
    <row r="58" spans="1:43" x14ac:dyDescent="0.25">
      <c r="A58" s="19" t="s">
        <v>64</v>
      </c>
      <c r="B58" s="11">
        <f t="shared" si="10"/>
        <v>1372.4</v>
      </c>
      <c r="C58" s="11">
        <f t="shared" si="11"/>
        <v>1372.4</v>
      </c>
      <c r="D58" s="20"/>
      <c r="E58" s="20"/>
      <c r="F58" s="20"/>
      <c r="G58" s="20">
        <v>2.4</v>
      </c>
      <c r="H58" s="20"/>
      <c r="I58" s="20"/>
      <c r="J58" s="20"/>
      <c r="K58" s="22">
        <f>SUM(L58:N58)</f>
        <v>160</v>
      </c>
      <c r="L58" s="20"/>
      <c r="M58" s="20"/>
      <c r="N58" s="70">
        <v>160</v>
      </c>
      <c r="O58" s="20"/>
      <c r="P58" s="20"/>
      <c r="Q58" s="70">
        <v>150</v>
      </c>
      <c r="R58" s="20"/>
      <c r="S58" s="70">
        <v>150</v>
      </c>
      <c r="T58" s="20">
        <v>432</v>
      </c>
      <c r="U58" s="20">
        <v>50.8</v>
      </c>
      <c r="V58" s="70">
        <v>27.2</v>
      </c>
      <c r="W58" s="20"/>
      <c r="X58" s="20"/>
      <c r="Y58" s="20"/>
      <c r="Z58" s="20"/>
      <c r="AA58" s="20"/>
      <c r="AB58" s="16">
        <f t="shared" si="9"/>
        <v>400</v>
      </c>
      <c r="AC58" s="20"/>
      <c r="AD58" s="90">
        <v>400</v>
      </c>
      <c r="AE58" s="20"/>
      <c r="AF58" s="80"/>
      <c r="AG58" s="23"/>
      <c r="AH58" s="24"/>
      <c r="AM58" s="5"/>
    </row>
    <row r="59" spans="1:43" x14ac:dyDescent="0.25">
      <c r="A59" s="19" t="s">
        <v>66</v>
      </c>
      <c r="B59" s="11">
        <f t="shared" si="10"/>
        <v>890.3</v>
      </c>
      <c r="C59" s="11">
        <f t="shared" si="11"/>
        <v>890.3</v>
      </c>
      <c r="D59" s="20"/>
      <c r="E59" s="20"/>
      <c r="F59" s="20"/>
      <c r="G59" s="20">
        <v>2.4</v>
      </c>
      <c r="H59" s="20"/>
      <c r="I59" s="20"/>
      <c r="J59" s="20"/>
      <c r="K59" s="22">
        <f t="shared" si="5"/>
        <v>110</v>
      </c>
      <c r="L59" s="20"/>
      <c r="M59" s="20"/>
      <c r="N59" s="70">
        <v>110</v>
      </c>
      <c r="O59" s="20"/>
      <c r="P59" s="20"/>
      <c r="Q59" s="70">
        <v>100</v>
      </c>
      <c r="R59" s="20"/>
      <c r="S59" s="70">
        <v>100</v>
      </c>
      <c r="T59" s="20">
        <v>432</v>
      </c>
      <c r="U59" s="20">
        <v>50.8</v>
      </c>
      <c r="V59" s="70">
        <v>25.1</v>
      </c>
      <c r="W59" s="20"/>
      <c r="X59" s="20"/>
      <c r="Y59" s="20"/>
      <c r="Z59" s="20"/>
      <c r="AA59" s="20"/>
      <c r="AB59" s="16">
        <f t="shared" si="9"/>
        <v>70</v>
      </c>
      <c r="AC59" s="20"/>
      <c r="AD59" s="70">
        <v>70</v>
      </c>
      <c r="AE59" s="20"/>
      <c r="AF59" s="80"/>
      <c r="AG59" s="23"/>
      <c r="AH59" s="24"/>
    </row>
    <row r="60" spans="1:43" x14ac:dyDescent="0.25">
      <c r="A60" s="19" t="s">
        <v>67</v>
      </c>
      <c r="B60" s="11">
        <f t="shared" si="10"/>
        <v>1360.6000000000001</v>
      </c>
      <c r="C60" s="11">
        <f t="shared" si="11"/>
        <v>1360.6000000000001</v>
      </c>
      <c r="D60" s="20"/>
      <c r="E60" s="20"/>
      <c r="F60" s="20"/>
      <c r="G60" s="20">
        <v>2.4</v>
      </c>
      <c r="H60" s="20"/>
      <c r="I60" s="20"/>
      <c r="J60" s="20"/>
      <c r="K60" s="22">
        <f t="shared" si="5"/>
        <v>160</v>
      </c>
      <c r="L60" s="20"/>
      <c r="M60" s="20"/>
      <c r="N60" s="70">
        <v>160</v>
      </c>
      <c r="O60" s="20"/>
      <c r="P60" s="20"/>
      <c r="Q60" s="70">
        <v>150</v>
      </c>
      <c r="R60" s="20"/>
      <c r="S60" s="70">
        <v>150</v>
      </c>
      <c r="T60" s="20">
        <v>792</v>
      </c>
      <c r="U60" s="20">
        <v>77.3</v>
      </c>
      <c r="V60" s="70">
        <v>28.9</v>
      </c>
      <c r="W60" s="20"/>
      <c r="X60" s="20"/>
      <c r="Y60" s="20"/>
      <c r="Z60" s="20"/>
      <c r="AA60" s="20"/>
      <c r="AB60" s="16">
        <f t="shared" si="9"/>
        <v>0</v>
      </c>
      <c r="AC60" s="20"/>
      <c r="AD60" s="70"/>
      <c r="AE60" s="20"/>
      <c r="AF60" s="80"/>
      <c r="AG60" s="23"/>
      <c r="AH60" s="24"/>
    </row>
    <row r="61" spans="1:43" x14ac:dyDescent="0.25">
      <c r="A61" s="19" t="s">
        <v>68</v>
      </c>
      <c r="B61" s="11">
        <f t="shared" si="10"/>
        <v>1939.4</v>
      </c>
      <c r="C61" s="11">
        <f t="shared" si="11"/>
        <v>1939.4</v>
      </c>
      <c r="D61" s="38"/>
      <c r="E61" s="20"/>
      <c r="F61" s="20"/>
      <c r="G61" s="20">
        <v>2.4</v>
      </c>
      <c r="H61" s="20"/>
      <c r="I61" s="20"/>
      <c r="J61" s="20"/>
      <c r="K61" s="22">
        <f t="shared" si="5"/>
        <v>160</v>
      </c>
      <c r="L61" s="20"/>
      <c r="M61" s="20"/>
      <c r="N61" s="70">
        <v>160</v>
      </c>
      <c r="O61" s="20"/>
      <c r="P61" s="20"/>
      <c r="Q61" s="70">
        <v>150</v>
      </c>
      <c r="R61" s="20"/>
      <c r="S61" s="70">
        <v>150</v>
      </c>
      <c r="T61" s="20">
        <f>1080+148.5</f>
        <v>1228.5</v>
      </c>
      <c r="U61" s="20">
        <v>77.3</v>
      </c>
      <c r="V61" s="70">
        <v>71.2</v>
      </c>
      <c r="W61" s="20"/>
      <c r="X61" s="20"/>
      <c r="Y61" s="20"/>
      <c r="Z61" s="20"/>
      <c r="AA61" s="20"/>
      <c r="AB61" s="16">
        <f t="shared" si="9"/>
        <v>100</v>
      </c>
      <c r="AC61" s="20"/>
      <c r="AD61" s="70">
        <v>100</v>
      </c>
      <c r="AE61" s="20"/>
      <c r="AF61" s="80"/>
      <c r="AG61" s="23"/>
      <c r="AH61" s="24"/>
    </row>
    <row r="62" spans="1:43" x14ac:dyDescent="0.25">
      <c r="A62" s="19" t="s">
        <v>69</v>
      </c>
      <c r="B62" s="11">
        <f t="shared" si="10"/>
        <v>1432.6000000000001</v>
      </c>
      <c r="C62" s="11">
        <f t="shared" si="11"/>
        <v>1432.6000000000001</v>
      </c>
      <c r="D62" s="20"/>
      <c r="E62" s="20"/>
      <c r="F62" s="20"/>
      <c r="G62" s="20">
        <v>2.4</v>
      </c>
      <c r="H62" s="20"/>
      <c r="I62" s="20"/>
      <c r="J62" s="20"/>
      <c r="K62" s="22">
        <f t="shared" si="5"/>
        <v>130</v>
      </c>
      <c r="L62" s="20"/>
      <c r="M62" s="20"/>
      <c r="N62" s="70">
        <v>130</v>
      </c>
      <c r="O62" s="20"/>
      <c r="P62" s="20"/>
      <c r="Q62" s="70">
        <v>100</v>
      </c>
      <c r="R62" s="20"/>
      <c r="S62" s="70">
        <v>100</v>
      </c>
      <c r="T62" s="20">
        <v>792</v>
      </c>
      <c r="U62" s="20">
        <v>77.3</v>
      </c>
      <c r="V62" s="70">
        <v>30.9</v>
      </c>
      <c r="W62" s="20"/>
      <c r="X62" s="20"/>
      <c r="Y62" s="20"/>
      <c r="Z62" s="20"/>
      <c r="AA62" s="20"/>
      <c r="AB62" s="16">
        <f t="shared" si="9"/>
        <v>200</v>
      </c>
      <c r="AC62" s="20"/>
      <c r="AD62" s="70">
        <v>200</v>
      </c>
      <c r="AE62" s="20"/>
      <c r="AF62" s="80"/>
      <c r="AG62" s="23"/>
      <c r="AH62" s="24"/>
    </row>
    <row r="63" spans="1:43" x14ac:dyDescent="0.25">
      <c r="A63" s="19" t="s">
        <v>70</v>
      </c>
      <c r="B63" s="11">
        <f t="shared" si="10"/>
        <v>1525.2</v>
      </c>
      <c r="C63" s="11">
        <f t="shared" si="11"/>
        <v>1525.2</v>
      </c>
      <c r="D63" s="20"/>
      <c r="E63" s="20"/>
      <c r="F63" s="20"/>
      <c r="G63" s="20">
        <v>2.4</v>
      </c>
      <c r="H63" s="20"/>
      <c r="I63" s="20"/>
      <c r="J63" s="20"/>
      <c r="K63" s="22">
        <f t="shared" si="5"/>
        <v>160</v>
      </c>
      <c r="L63" s="20"/>
      <c r="M63" s="20"/>
      <c r="N63" s="70">
        <v>160</v>
      </c>
      <c r="O63" s="20"/>
      <c r="P63" s="20"/>
      <c r="Q63" s="70">
        <v>150</v>
      </c>
      <c r="R63" s="20"/>
      <c r="S63" s="70">
        <v>150</v>
      </c>
      <c r="T63" s="20">
        <v>792</v>
      </c>
      <c r="U63" s="20">
        <v>77.3</v>
      </c>
      <c r="V63" s="70">
        <v>43.5</v>
      </c>
      <c r="W63" s="20"/>
      <c r="X63" s="20"/>
      <c r="Y63" s="20"/>
      <c r="Z63" s="20"/>
      <c r="AA63" s="20"/>
      <c r="AB63" s="16">
        <f t="shared" si="9"/>
        <v>150</v>
      </c>
      <c r="AC63" s="20"/>
      <c r="AD63" s="70">
        <v>150</v>
      </c>
      <c r="AE63" s="20"/>
      <c r="AF63" s="80"/>
      <c r="AG63" s="23"/>
      <c r="AH63" s="24"/>
    </row>
    <row r="64" spans="1:43" x14ac:dyDescent="0.25">
      <c r="A64" s="45" t="s">
        <v>101</v>
      </c>
      <c r="B64" s="11">
        <f t="shared" si="10"/>
        <v>1597.5</v>
      </c>
      <c r="C64" s="11">
        <f t="shared" si="11"/>
        <v>1597.5</v>
      </c>
      <c r="D64" s="46"/>
      <c r="E64" s="46"/>
      <c r="F64" s="46"/>
      <c r="G64" s="20">
        <v>2.4</v>
      </c>
      <c r="H64" s="20"/>
      <c r="I64" s="20"/>
      <c r="J64" s="20"/>
      <c r="K64" s="22">
        <f t="shared" ref="K64:K67" si="38">SUM(L64:N64)</f>
        <v>170</v>
      </c>
      <c r="L64" s="20"/>
      <c r="M64" s="20"/>
      <c r="N64" s="70">
        <v>170</v>
      </c>
      <c r="O64" s="20"/>
      <c r="P64" s="20"/>
      <c r="Q64" s="70">
        <v>150</v>
      </c>
      <c r="R64" s="20"/>
      <c r="S64" s="70">
        <v>150</v>
      </c>
      <c r="T64" s="20">
        <f>792+148.5</f>
        <v>940.5</v>
      </c>
      <c r="U64" s="20">
        <v>50.8</v>
      </c>
      <c r="V64" s="70">
        <v>33.799999999999997</v>
      </c>
      <c r="W64" s="20"/>
      <c r="X64" s="20"/>
      <c r="Y64" s="20"/>
      <c r="Z64" s="20"/>
      <c r="AA64" s="20"/>
      <c r="AB64" s="16">
        <f t="shared" si="9"/>
        <v>100</v>
      </c>
      <c r="AC64" s="20"/>
      <c r="AD64" s="70">
        <v>100</v>
      </c>
      <c r="AE64" s="46"/>
      <c r="AF64" s="84"/>
      <c r="AG64" s="47"/>
      <c r="AH64" s="24"/>
    </row>
    <row r="65" spans="1:34" x14ac:dyDescent="0.25">
      <c r="A65" s="45" t="s">
        <v>102</v>
      </c>
      <c r="B65" s="11">
        <f t="shared" si="10"/>
        <v>1353.7</v>
      </c>
      <c r="C65" s="11">
        <f t="shared" si="11"/>
        <v>1353.7</v>
      </c>
      <c r="D65" s="46"/>
      <c r="E65" s="46"/>
      <c r="F65" s="46"/>
      <c r="G65" s="20">
        <v>2.4</v>
      </c>
      <c r="H65" s="20"/>
      <c r="I65" s="20"/>
      <c r="J65" s="20"/>
      <c r="K65" s="22">
        <f t="shared" si="38"/>
        <v>160</v>
      </c>
      <c r="L65" s="20"/>
      <c r="M65" s="20"/>
      <c r="N65" s="70">
        <v>160</v>
      </c>
      <c r="O65" s="20"/>
      <c r="P65" s="20"/>
      <c r="Q65" s="70">
        <v>150</v>
      </c>
      <c r="R65" s="20"/>
      <c r="S65" s="70">
        <v>150</v>
      </c>
      <c r="T65" s="20">
        <v>792</v>
      </c>
      <c r="U65" s="20">
        <v>50.8</v>
      </c>
      <c r="V65" s="70">
        <v>48.5</v>
      </c>
      <c r="W65" s="20"/>
      <c r="X65" s="20"/>
      <c r="Y65" s="20"/>
      <c r="Z65" s="20"/>
      <c r="AA65" s="20"/>
      <c r="AB65" s="16">
        <f t="shared" si="9"/>
        <v>0</v>
      </c>
      <c r="AC65" s="20"/>
      <c r="AD65" s="70"/>
      <c r="AE65" s="46"/>
      <c r="AF65" s="84"/>
      <c r="AG65" s="47"/>
      <c r="AH65" s="24"/>
    </row>
    <row r="66" spans="1:34" x14ac:dyDescent="0.25">
      <c r="A66" s="45" t="s">
        <v>103</v>
      </c>
      <c r="B66" s="11">
        <f t="shared" si="10"/>
        <v>2074.1999999999998</v>
      </c>
      <c r="C66" s="11">
        <f t="shared" si="11"/>
        <v>2074.1999999999998</v>
      </c>
      <c r="D66" s="46"/>
      <c r="E66" s="46"/>
      <c r="F66" s="46"/>
      <c r="G66" s="20">
        <v>2.4</v>
      </c>
      <c r="H66" s="20"/>
      <c r="I66" s="20"/>
      <c r="J66" s="20"/>
      <c r="K66" s="22">
        <f t="shared" si="38"/>
        <v>160</v>
      </c>
      <c r="L66" s="20"/>
      <c r="M66" s="20"/>
      <c r="N66" s="70">
        <v>160</v>
      </c>
      <c r="O66" s="20"/>
      <c r="P66" s="20"/>
      <c r="Q66" s="70">
        <v>150</v>
      </c>
      <c r="R66" s="20"/>
      <c r="S66" s="70">
        <v>150</v>
      </c>
      <c r="T66" s="20">
        <f>1260+148.5</f>
        <v>1408.5</v>
      </c>
      <c r="U66" s="20">
        <v>50.8</v>
      </c>
      <c r="V66" s="70">
        <v>52.5</v>
      </c>
      <c r="W66" s="20"/>
      <c r="X66" s="20"/>
      <c r="Y66" s="20"/>
      <c r="Z66" s="20"/>
      <c r="AA66" s="20"/>
      <c r="AB66" s="16">
        <f t="shared" si="9"/>
        <v>100</v>
      </c>
      <c r="AC66" s="20"/>
      <c r="AD66" s="70">
        <v>100</v>
      </c>
      <c r="AE66" s="46"/>
      <c r="AF66" s="84"/>
      <c r="AG66" s="47"/>
      <c r="AH66" s="24"/>
    </row>
    <row r="67" spans="1:34" ht="36.75" x14ac:dyDescent="0.25">
      <c r="A67" s="54" t="s">
        <v>104</v>
      </c>
      <c r="B67" s="11">
        <f t="shared" si="10"/>
        <v>306.5</v>
      </c>
      <c r="C67" s="11">
        <f t="shared" si="11"/>
        <v>306.5</v>
      </c>
      <c r="D67" s="46"/>
      <c r="E67" s="46"/>
      <c r="F67" s="46"/>
      <c r="G67" s="20">
        <v>2.4</v>
      </c>
      <c r="H67" s="20"/>
      <c r="I67" s="20"/>
      <c r="J67" s="20"/>
      <c r="K67" s="22">
        <f t="shared" si="38"/>
        <v>55.7</v>
      </c>
      <c r="L67" s="20"/>
      <c r="M67" s="20"/>
      <c r="N67" s="70">
        <v>55.7</v>
      </c>
      <c r="O67" s="20"/>
      <c r="P67" s="20"/>
      <c r="Q67" s="70">
        <v>50</v>
      </c>
      <c r="R67" s="20"/>
      <c r="S67" s="70">
        <v>50</v>
      </c>
      <c r="T67" s="20">
        <v>108</v>
      </c>
      <c r="U67" s="20">
        <v>27.9</v>
      </c>
      <c r="V67" s="70">
        <v>12.5</v>
      </c>
      <c r="W67" s="20"/>
      <c r="X67" s="20"/>
      <c r="Y67" s="20"/>
      <c r="Z67" s="20"/>
      <c r="AA67" s="20"/>
      <c r="AB67" s="16">
        <f t="shared" si="9"/>
        <v>0</v>
      </c>
      <c r="AC67" s="20"/>
      <c r="AD67" s="70"/>
      <c r="AE67" s="46"/>
      <c r="AF67" s="84"/>
      <c r="AG67" s="47"/>
      <c r="AH67" s="24"/>
    </row>
    <row r="68" spans="1:34" x14ac:dyDescent="0.25">
      <c r="A68" s="63" t="s">
        <v>71</v>
      </c>
      <c r="B68" s="11">
        <f t="shared" si="10"/>
        <v>15721.5</v>
      </c>
      <c r="C68" s="11">
        <f t="shared" si="11"/>
        <v>15721.5</v>
      </c>
      <c r="D68" s="64">
        <f>SUM(D56:D67)</f>
        <v>0</v>
      </c>
      <c r="E68" s="64">
        <f t="shared" ref="E68:J68" si="39">SUM(E56:E67)</f>
        <v>0</v>
      </c>
      <c r="F68" s="64">
        <f t="shared" si="39"/>
        <v>0</v>
      </c>
      <c r="G68" s="64">
        <f t="shared" si="39"/>
        <v>28.799999999999994</v>
      </c>
      <c r="H68" s="64">
        <f t="shared" si="39"/>
        <v>0</v>
      </c>
      <c r="I68" s="64">
        <f t="shared" si="39"/>
        <v>0</v>
      </c>
      <c r="J68" s="64">
        <f t="shared" si="39"/>
        <v>0</v>
      </c>
      <c r="K68" s="64">
        <f>SUM(L68:N68)</f>
        <v>1655.7</v>
      </c>
      <c r="L68" s="64">
        <f t="shared" ref="L68:M68" si="40">SUM(L58:L67)</f>
        <v>0</v>
      </c>
      <c r="M68" s="64">
        <f t="shared" si="40"/>
        <v>0</v>
      </c>
      <c r="N68" s="64">
        <f>SUM(N56:N67)</f>
        <v>1655.7</v>
      </c>
      <c r="O68" s="64">
        <f t="shared" ref="O68:AA68" si="41">SUM(O56:O67)</f>
        <v>0</v>
      </c>
      <c r="P68" s="64">
        <f t="shared" si="41"/>
        <v>0</v>
      </c>
      <c r="Q68" s="64">
        <f t="shared" si="41"/>
        <v>1500</v>
      </c>
      <c r="R68" s="64">
        <f t="shared" si="41"/>
        <v>0</v>
      </c>
      <c r="S68" s="64">
        <f t="shared" si="41"/>
        <v>1500</v>
      </c>
      <c r="T68" s="64">
        <f t="shared" si="41"/>
        <v>8662.5</v>
      </c>
      <c r="U68" s="64">
        <f t="shared" si="41"/>
        <v>692.69999999999982</v>
      </c>
      <c r="V68" s="64">
        <f t="shared" si="41"/>
        <v>421.8</v>
      </c>
      <c r="W68" s="64">
        <f t="shared" si="41"/>
        <v>0</v>
      </c>
      <c r="X68" s="64">
        <f t="shared" si="41"/>
        <v>0</v>
      </c>
      <c r="Y68" s="64">
        <f t="shared" si="41"/>
        <v>0</v>
      </c>
      <c r="Z68" s="64">
        <f t="shared" si="41"/>
        <v>0</v>
      </c>
      <c r="AA68" s="64">
        <f t="shared" si="41"/>
        <v>0</v>
      </c>
      <c r="AB68" s="87">
        <f t="shared" si="9"/>
        <v>1260</v>
      </c>
      <c r="AC68" s="64">
        <f>SUM(AC56:AC67)</f>
        <v>0</v>
      </c>
      <c r="AD68" s="64">
        <f t="shared" ref="AD68:AG68" si="42">SUM(AD56:AD67)</f>
        <v>1260</v>
      </c>
      <c r="AE68" s="64">
        <f t="shared" si="42"/>
        <v>0</v>
      </c>
      <c r="AF68" s="64">
        <f t="shared" si="42"/>
        <v>0</v>
      </c>
      <c r="AG68" s="64">
        <f t="shared" si="42"/>
        <v>0</v>
      </c>
      <c r="AH68" s="28"/>
    </row>
    <row r="69" spans="1:34" hidden="1" x14ac:dyDescent="0.25">
      <c r="A69" s="57"/>
      <c r="B69" s="58">
        <f t="shared" ref="B69" si="43">C69+AG69</f>
        <v>0</v>
      </c>
      <c r="C69" s="58">
        <f>D69+E69+F69+G69+J69+K69+P69+Q69+R69+S69+T69+U69+V69+W69+X69+AA69+AB69+Z69</f>
        <v>0</v>
      </c>
      <c r="D69" s="59"/>
      <c r="E69" s="59"/>
      <c r="F69" s="59"/>
      <c r="G69" s="59"/>
      <c r="H69" s="59"/>
      <c r="I69" s="59"/>
      <c r="J69" s="59"/>
      <c r="K69" s="60">
        <f>SUM(L69:N69)</f>
        <v>0</v>
      </c>
      <c r="L69" s="59"/>
      <c r="M69" s="59"/>
      <c r="N69" s="74"/>
      <c r="O69" s="59"/>
      <c r="P69" s="59"/>
      <c r="Q69" s="74"/>
      <c r="R69" s="59"/>
      <c r="S69" s="74"/>
      <c r="T69" s="59"/>
      <c r="U69" s="59"/>
      <c r="V69" s="74"/>
      <c r="W69" s="59"/>
      <c r="X69" s="59"/>
      <c r="Y69" s="59"/>
      <c r="Z69" s="59"/>
      <c r="AA69" s="59"/>
      <c r="AB69" s="60">
        <f t="shared" ref="AB69" si="44">SUM(AC69:AE69)</f>
        <v>0</v>
      </c>
      <c r="AC69" s="59"/>
      <c r="AD69" s="74"/>
      <c r="AE69" s="59"/>
      <c r="AF69" s="85"/>
      <c r="AG69" s="61"/>
      <c r="AH69" s="24"/>
    </row>
    <row r="70" spans="1:34" hidden="1" x14ac:dyDescent="0.25">
      <c r="A70" s="50" t="s">
        <v>79</v>
      </c>
      <c r="B70" s="51">
        <f>C70+AG70</f>
        <v>0</v>
      </c>
      <c r="C70" s="51">
        <f t="shared" ref="C70" si="45">D70+E70+F70+G70+J70+K70+P70+Q70+R70+S70+T70+U70+V70+W70+X70+AA70+AB70+Z70</f>
        <v>0</v>
      </c>
      <c r="D70" s="52">
        <f>SUM(D69)</f>
        <v>0</v>
      </c>
      <c r="E70" s="52">
        <f t="shared" ref="E70:AG70" si="46">SUM(E69)</f>
        <v>0</v>
      </c>
      <c r="F70" s="52">
        <f t="shared" si="46"/>
        <v>0</v>
      </c>
      <c r="G70" s="52">
        <f t="shared" si="46"/>
        <v>0</v>
      </c>
      <c r="H70" s="52">
        <f t="shared" si="46"/>
        <v>0</v>
      </c>
      <c r="I70" s="52">
        <f t="shared" si="46"/>
        <v>0</v>
      </c>
      <c r="J70" s="52">
        <f t="shared" si="46"/>
        <v>0</v>
      </c>
      <c r="K70" s="52">
        <f>SUM(L70:N70)</f>
        <v>0</v>
      </c>
      <c r="L70" s="52">
        <f t="shared" si="46"/>
        <v>0</v>
      </c>
      <c r="M70" s="52">
        <f t="shared" si="46"/>
        <v>0</v>
      </c>
      <c r="N70" s="75">
        <f t="shared" si="46"/>
        <v>0</v>
      </c>
      <c r="O70" s="52">
        <f t="shared" si="46"/>
        <v>0</v>
      </c>
      <c r="P70" s="52">
        <f t="shared" si="46"/>
        <v>0</v>
      </c>
      <c r="Q70" s="75">
        <f t="shared" si="46"/>
        <v>0</v>
      </c>
      <c r="R70" s="52">
        <f t="shared" si="46"/>
        <v>0</v>
      </c>
      <c r="S70" s="75">
        <f t="shared" si="46"/>
        <v>0</v>
      </c>
      <c r="T70" s="52">
        <f t="shared" si="46"/>
        <v>0</v>
      </c>
      <c r="U70" s="52">
        <f t="shared" si="46"/>
        <v>0</v>
      </c>
      <c r="V70" s="75">
        <f t="shared" si="46"/>
        <v>0</v>
      </c>
      <c r="W70" s="52">
        <f t="shared" si="46"/>
        <v>0</v>
      </c>
      <c r="X70" s="52">
        <f t="shared" si="46"/>
        <v>0</v>
      </c>
      <c r="Y70" s="52"/>
      <c r="Z70" s="52">
        <f t="shared" si="46"/>
        <v>0</v>
      </c>
      <c r="AA70" s="52">
        <f t="shared" si="46"/>
        <v>0</v>
      </c>
      <c r="AB70" s="52">
        <f>SUM(AC70:AE70)</f>
        <v>0</v>
      </c>
      <c r="AC70" s="52">
        <f t="shared" si="46"/>
        <v>0</v>
      </c>
      <c r="AD70" s="75">
        <f t="shared" si="46"/>
        <v>0</v>
      </c>
      <c r="AE70" s="52">
        <f t="shared" si="46"/>
        <v>0</v>
      </c>
      <c r="AF70" s="86"/>
      <c r="AG70" s="53">
        <f t="shared" si="46"/>
        <v>0</v>
      </c>
      <c r="AH70" s="28"/>
    </row>
    <row r="71" spans="1:34" x14ac:dyDescent="0.25">
      <c r="A71" s="5"/>
      <c r="B71" s="5"/>
      <c r="C71" s="5"/>
      <c r="E71" s="5"/>
    </row>
    <row r="72" spans="1:34" x14ac:dyDescent="0.25">
      <c r="A72" s="161" t="s">
        <v>113</v>
      </c>
      <c r="B72" s="161"/>
      <c r="C72" s="161"/>
      <c r="D72" s="161"/>
      <c r="E72" s="161"/>
      <c r="F72" s="161"/>
      <c r="G72" s="161"/>
      <c r="H72" s="161"/>
      <c r="I72" s="161"/>
      <c r="J72" s="161"/>
      <c r="K72" s="161"/>
      <c r="L72" s="161"/>
      <c r="M72" s="161"/>
      <c r="N72" s="161"/>
      <c r="O72" s="161"/>
      <c r="P72" s="161"/>
      <c r="Q72" s="161"/>
      <c r="R72" s="161"/>
      <c r="S72" s="161"/>
      <c r="T72" s="161"/>
      <c r="U72" s="161"/>
      <c r="V72" s="161"/>
      <c r="W72" s="161"/>
      <c r="X72" s="161"/>
      <c r="Y72" s="161"/>
      <c r="Z72" s="161"/>
      <c r="AA72" s="161"/>
      <c r="AB72" s="161"/>
      <c r="AC72" s="161"/>
      <c r="AD72" s="161"/>
      <c r="AE72" s="161"/>
      <c r="AF72" s="161"/>
      <c r="AG72" s="161"/>
      <c r="AH72" s="4"/>
    </row>
    <row r="73" spans="1:34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76"/>
      <c r="O73" s="4"/>
      <c r="P73" s="4"/>
      <c r="Q73" s="76"/>
      <c r="R73" s="4"/>
      <c r="S73" s="76"/>
      <c r="T73" s="4"/>
      <c r="U73" s="4"/>
      <c r="V73" s="76"/>
      <c r="W73" s="4"/>
      <c r="X73" s="4"/>
      <c r="Y73" s="4"/>
      <c r="Z73" s="4"/>
      <c r="AA73" s="4"/>
      <c r="AB73" s="4"/>
    </row>
    <row r="74" spans="1:34" x14ac:dyDescent="0.25">
      <c r="A74" s="161" t="s">
        <v>75</v>
      </c>
      <c r="B74" s="161"/>
      <c r="C74" s="161"/>
      <c r="D74" s="161"/>
      <c r="E74" s="161"/>
      <c r="F74" s="161"/>
      <c r="G74" s="161"/>
      <c r="H74" s="161"/>
      <c r="I74" s="161"/>
      <c r="J74" s="161"/>
      <c r="K74" s="161"/>
      <c r="L74" s="161"/>
      <c r="M74" s="161"/>
      <c r="N74" s="161"/>
      <c r="O74" s="161"/>
      <c r="P74" s="161"/>
      <c r="Q74" s="161"/>
      <c r="R74" s="161"/>
      <c r="S74" s="161"/>
      <c r="T74" s="161"/>
      <c r="U74" s="161"/>
      <c r="V74" s="161"/>
      <c r="W74" s="161"/>
      <c r="X74" s="161"/>
      <c r="Y74" s="161"/>
      <c r="Z74" s="161"/>
      <c r="AA74" s="161"/>
      <c r="AB74" s="161"/>
      <c r="AC74" s="161"/>
      <c r="AD74" s="161"/>
      <c r="AE74" s="161"/>
      <c r="AF74" s="161"/>
      <c r="AG74" s="161"/>
      <c r="AH74" s="4"/>
    </row>
  </sheetData>
  <mergeCells count="41">
    <mergeCell ref="AO56:AP56"/>
    <mergeCell ref="Q8:Q11"/>
    <mergeCell ref="R8:R11"/>
    <mergeCell ref="J8:J11"/>
    <mergeCell ref="S8:S11"/>
    <mergeCell ref="AI36:AP36"/>
    <mergeCell ref="A72:AG72"/>
    <mergeCell ref="AD8:AD11"/>
    <mergeCell ref="AE8:AE11"/>
    <mergeCell ref="Y8:Y11"/>
    <mergeCell ref="AF8:AF11"/>
    <mergeCell ref="A74:AG74"/>
    <mergeCell ref="AG8:AG11"/>
    <mergeCell ref="K9:K11"/>
    <mergeCell ref="L9:N11"/>
    <mergeCell ref="O9:O10"/>
    <mergeCell ref="U8:U11"/>
    <mergeCell ref="V8:V11"/>
    <mergeCell ref="W8:W11"/>
    <mergeCell ref="X8:X11"/>
    <mergeCell ref="Z8:Z11"/>
    <mergeCell ref="T8:T11"/>
    <mergeCell ref="K8:O8"/>
    <mergeCell ref="P8:P11"/>
    <mergeCell ref="AA8:AA11"/>
    <mergeCell ref="AB8:AB11"/>
    <mergeCell ref="AC8:AC11"/>
    <mergeCell ref="A1:D1"/>
    <mergeCell ref="A2:D2"/>
    <mergeCell ref="Z2:AG3"/>
    <mergeCell ref="A3:D3"/>
    <mergeCell ref="A4:E4"/>
    <mergeCell ref="A6:AA6"/>
    <mergeCell ref="A8:A11"/>
    <mergeCell ref="B8:B11"/>
    <mergeCell ref="C8:C11"/>
    <mergeCell ref="D8:D11"/>
    <mergeCell ref="E8:E11"/>
    <mergeCell ref="F8:F11"/>
    <mergeCell ref="G8:H11"/>
    <mergeCell ref="I8:I11"/>
  </mergeCells>
  <printOptions horizontalCentered="1" verticalCentered="1"/>
  <pageMargins left="0.31496062992125984" right="0.11811023622047245" top="0.55118110236220474" bottom="0.15748031496062992" header="0.11811023622047245" footer="0.11811023622047245"/>
  <pageSetup paperSize="9" scale="61" firstPageNumber="0" orientation="landscape" horizontalDpi="300" verticalDpi="300" r:id="rId1"/>
  <rowBreaks count="1" manualBreakCount="1">
    <brk id="74" max="16383" man="1"/>
  </rowBreaks>
  <colBreaks count="1" manualBreakCount="1">
    <brk id="33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88"/>
  <sheetViews>
    <sheetView view="pageBreakPreview" topLeftCell="A7" zoomScaleNormal="100" zoomScaleSheetLayoutView="100" workbookViewId="0">
      <pane xSplit="7" ySplit="5" topLeftCell="H63" activePane="bottomRight" state="frozen"/>
      <selection activeCell="A7" sqref="A7"/>
      <selection pane="topRight" activeCell="H7" sqref="H7"/>
      <selection pane="bottomLeft" activeCell="A12" sqref="A12"/>
      <selection pane="bottomRight" activeCell="O46" sqref="O46"/>
    </sheetView>
  </sheetViews>
  <sheetFormatPr defaultColWidth="8.85546875" defaultRowHeight="15.75" x14ac:dyDescent="0.25"/>
  <cols>
    <col min="1" max="1" width="4" style="92" customWidth="1"/>
    <col min="2" max="2" width="71.85546875" style="92" customWidth="1"/>
    <col min="3" max="3" width="9" style="92" customWidth="1"/>
    <col min="4" max="4" width="12.7109375" style="92" customWidth="1"/>
    <col min="5" max="7" width="10.5703125" style="92" hidden="1" customWidth="1"/>
    <col min="8" max="8" width="10.5703125" style="92" customWidth="1"/>
    <col min="9" max="9" width="10.5703125" style="92" hidden="1" customWidth="1"/>
    <col min="10" max="11" width="10.5703125" style="92" customWidth="1"/>
    <col min="12" max="13" width="10.5703125" style="92" hidden="1" customWidth="1"/>
    <col min="14" max="17" width="10.5703125" style="92" customWidth="1"/>
    <col min="18" max="243" width="9.140625" style="92" customWidth="1"/>
    <col min="244" max="244" width="4" style="92" customWidth="1"/>
    <col min="245" max="245" width="71.85546875" style="92" customWidth="1"/>
    <col min="246" max="246" width="9" style="92" customWidth="1"/>
    <col min="247" max="247" width="12.7109375" style="92" customWidth="1"/>
    <col min="248" max="249" width="8.85546875" style="92"/>
    <col min="250" max="250" width="10.28515625" style="92" customWidth="1"/>
    <col min="251" max="251" width="9.7109375" style="92" customWidth="1"/>
    <col min="252" max="254" width="9.42578125" style="92" customWidth="1"/>
    <col min="255" max="255" width="8.85546875" style="92"/>
    <col min="256" max="257" width="9.5703125" style="92" customWidth="1"/>
    <col min="258" max="258" width="11" style="92" customWidth="1"/>
    <col min="259" max="499" width="9.140625" style="92" customWidth="1"/>
    <col min="500" max="500" width="4" style="92" customWidth="1"/>
    <col min="501" max="501" width="71.85546875" style="92" customWidth="1"/>
    <col min="502" max="502" width="9" style="92" customWidth="1"/>
    <col min="503" max="503" width="12.7109375" style="92" customWidth="1"/>
    <col min="504" max="505" width="8.85546875" style="92"/>
    <col min="506" max="506" width="10.28515625" style="92" customWidth="1"/>
    <col min="507" max="507" width="9.7109375" style="92" customWidth="1"/>
    <col min="508" max="510" width="9.42578125" style="92" customWidth="1"/>
    <col min="511" max="511" width="8.85546875" style="92"/>
    <col min="512" max="513" width="9.5703125" style="92" customWidth="1"/>
    <col min="514" max="514" width="11" style="92" customWidth="1"/>
    <col min="515" max="755" width="9.140625" style="92" customWidth="1"/>
    <col min="756" max="756" width="4" style="92" customWidth="1"/>
    <col min="757" max="757" width="71.85546875" style="92" customWidth="1"/>
    <col min="758" max="758" width="9" style="92" customWidth="1"/>
    <col min="759" max="759" width="12.7109375" style="92" customWidth="1"/>
    <col min="760" max="761" width="8.85546875" style="92"/>
    <col min="762" max="762" width="10.28515625" style="92" customWidth="1"/>
    <col min="763" max="763" width="9.7109375" style="92" customWidth="1"/>
    <col min="764" max="766" width="9.42578125" style="92" customWidth="1"/>
    <col min="767" max="767" width="8.85546875" style="92"/>
    <col min="768" max="769" width="9.5703125" style="92" customWidth="1"/>
    <col min="770" max="770" width="11" style="92" customWidth="1"/>
    <col min="771" max="1012" width="9.140625" style="92" customWidth="1"/>
    <col min="1013" max="16384" width="8.85546875" style="92"/>
  </cols>
  <sheetData>
    <row r="1" spans="1:17" x14ac:dyDescent="0.25">
      <c r="A1" s="91"/>
      <c r="B1" s="91"/>
      <c r="C1" s="91"/>
      <c r="D1" s="91"/>
      <c r="H1" s="175" t="s">
        <v>76</v>
      </c>
      <c r="I1" s="175"/>
      <c r="J1" s="175"/>
      <c r="K1" s="175"/>
      <c r="L1" s="175"/>
      <c r="M1" s="175"/>
      <c r="N1" s="175"/>
      <c r="O1" s="175"/>
      <c r="P1" s="175"/>
      <c r="Q1" s="175"/>
    </row>
    <row r="2" spans="1:17" x14ac:dyDescent="0.25">
      <c r="A2" s="91"/>
      <c r="B2" s="91"/>
      <c r="C2" s="91"/>
      <c r="D2" s="91"/>
      <c r="H2" s="91" t="s">
        <v>125</v>
      </c>
      <c r="I2" s="91"/>
      <c r="J2" s="91"/>
      <c r="K2" s="91"/>
      <c r="L2" s="91"/>
      <c r="M2" s="91"/>
      <c r="N2" s="91"/>
      <c r="O2" s="91"/>
      <c r="P2" s="91"/>
    </row>
    <row r="3" spans="1:17" x14ac:dyDescent="0.25">
      <c r="A3" s="91"/>
      <c r="B3" s="91"/>
      <c r="C3" s="91"/>
      <c r="D3" s="91"/>
      <c r="H3" s="91" t="s">
        <v>126</v>
      </c>
      <c r="I3" s="91"/>
      <c r="J3" s="91"/>
      <c r="K3" s="91"/>
      <c r="L3" s="91"/>
      <c r="M3" s="91"/>
      <c r="N3" s="91"/>
      <c r="O3" s="91"/>
      <c r="P3" s="91"/>
    </row>
    <row r="4" spans="1:17" x14ac:dyDescent="0.25">
      <c r="A4" s="91"/>
      <c r="B4" s="91"/>
      <c r="C4" s="91"/>
      <c r="D4" s="91"/>
      <c r="E4" s="91"/>
      <c r="H4" s="91" t="s">
        <v>127</v>
      </c>
      <c r="I4" s="91"/>
      <c r="J4" s="91"/>
      <c r="K4" s="91"/>
      <c r="L4" s="91"/>
      <c r="M4" s="91"/>
      <c r="N4" s="91"/>
      <c r="O4" s="91"/>
      <c r="P4" s="91"/>
      <c r="Q4" s="91"/>
    </row>
    <row r="6" spans="1:17" x14ac:dyDescent="0.25">
      <c r="A6" s="175" t="s">
        <v>124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</row>
    <row r="7" spans="1:17" x14ac:dyDescent="0.25">
      <c r="A7" s="175" t="s">
        <v>144</v>
      </c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  <c r="P7" s="175"/>
      <c r="Q7" s="175"/>
    </row>
    <row r="8" spans="1:17" x14ac:dyDescent="0.25">
      <c r="D8" s="93"/>
    </row>
    <row r="9" spans="1:17" x14ac:dyDescent="0.25">
      <c r="A9" s="176" t="s">
        <v>72</v>
      </c>
      <c r="B9" s="176" t="s">
        <v>114</v>
      </c>
      <c r="C9" s="177" t="s">
        <v>73</v>
      </c>
      <c r="D9" s="177" t="s">
        <v>115</v>
      </c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</row>
    <row r="10" spans="1:17" x14ac:dyDescent="0.25">
      <c r="A10" s="176"/>
      <c r="B10" s="176"/>
      <c r="C10" s="177"/>
      <c r="D10" s="177"/>
      <c r="E10" s="177" t="s">
        <v>116</v>
      </c>
      <c r="F10" s="177" t="s">
        <v>117</v>
      </c>
      <c r="G10" s="177">
        <v>22141100</v>
      </c>
      <c r="H10" s="177" t="s">
        <v>118</v>
      </c>
      <c r="I10" s="177">
        <v>22181100</v>
      </c>
      <c r="J10" s="177">
        <v>22221100</v>
      </c>
      <c r="K10" s="177">
        <v>22221200</v>
      </c>
      <c r="L10" s="177"/>
      <c r="M10" s="177">
        <v>25121100</v>
      </c>
      <c r="N10" s="176">
        <v>27211500</v>
      </c>
      <c r="O10" s="176">
        <v>3111</v>
      </c>
      <c r="P10" s="176">
        <v>3112</v>
      </c>
      <c r="Q10" s="176">
        <v>3113</v>
      </c>
    </row>
    <row r="11" spans="1:17" x14ac:dyDescent="0.25">
      <c r="A11" s="176"/>
      <c r="B11" s="176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6"/>
      <c r="O11" s="176"/>
      <c r="P11" s="176"/>
      <c r="Q11" s="176"/>
    </row>
    <row r="12" spans="1:17" ht="31.5" x14ac:dyDescent="0.25">
      <c r="A12" s="94">
        <v>1</v>
      </c>
      <c r="B12" s="98" t="s">
        <v>137</v>
      </c>
      <c r="C12" s="117">
        <v>70111</v>
      </c>
      <c r="D12" s="118">
        <f t="shared" ref="D12:D38" si="0">SUM(E12:Q12)</f>
        <v>269156</v>
      </c>
      <c r="E12" s="117"/>
      <c r="F12" s="117"/>
      <c r="G12" s="117"/>
      <c r="H12" s="117"/>
      <c r="I12" s="117"/>
      <c r="J12" s="117"/>
      <c r="K12" s="117">
        <v>269156</v>
      </c>
      <c r="L12" s="117"/>
      <c r="M12" s="117"/>
      <c r="N12" s="117"/>
      <c r="O12" s="94"/>
      <c r="P12" s="94"/>
      <c r="Q12" s="98"/>
    </row>
    <row r="13" spans="1:17" x14ac:dyDescent="0.25">
      <c r="A13" s="94">
        <v>2</v>
      </c>
      <c r="B13" s="98" t="s">
        <v>142</v>
      </c>
      <c r="C13" s="117">
        <v>70821</v>
      </c>
      <c r="D13" s="118">
        <f t="shared" si="0"/>
        <v>16820</v>
      </c>
      <c r="E13" s="117"/>
      <c r="F13" s="117"/>
      <c r="G13" s="117"/>
      <c r="H13" s="117">
        <v>16820</v>
      </c>
      <c r="I13" s="117"/>
      <c r="J13" s="117"/>
      <c r="K13" s="117"/>
      <c r="L13" s="117"/>
      <c r="M13" s="117"/>
      <c r="N13" s="117"/>
      <c r="O13" s="94"/>
      <c r="P13" s="94"/>
      <c r="Q13" s="98"/>
    </row>
    <row r="14" spans="1:17" x14ac:dyDescent="0.25">
      <c r="A14" s="94">
        <v>3</v>
      </c>
      <c r="B14" s="98" t="s">
        <v>138</v>
      </c>
      <c r="C14" s="117">
        <v>70823</v>
      </c>
      <c r="D14" s="118">
        <f t="shared" si="0"/>
        <v>16820</v>
      </c>
      <c r="E14" s="117"/>
      <c r="F14" s="117"/>
      <c r="G14" s="117"/>
      <c r="H14" s="117">
        <v>16820</v>
      </c>
      <c r="I14" s="117"/>
      <c r="J14" s="117"/>
      <c r="K14" s="117"/>
      <c r="L14" s="117"/>
      <c r="M14" s="117"/>
      <c r="N14" s="117"/>
      <c r="O14" s="94"/>
      <c r="P14" s="94"/>
      <c r="Q14" s="98"/>
    </row>
    <row r="15" spans="1:17" x14ac:dyDescent="0.25">
      <c r="A15" s="94">
        <v>4</v>
      </c>
      <c r="B15" s="98" t="s">
        <v>141</v>
      </c>
      <c r="C15" s="117">
        <v>70921</v>
      </c>
      <c r="D15" s="118">
        <f t="shared" si="0"/>
        <v>75440</v>
      </c>
      <c r="E15" s="117"/>
      <c r="F15" s="117"/>
      <c r="G15" s="117"/>
      <c r="H15" s="99">
        <v>75440</v>
      </c>
      <c r="I15" s="117"/>
      <c r="J15" s="117"/>
      <c r="K15" s="117"/>
      <c r="L15" s="117"/>
      <c r="M15" s="117"/>
      <c r="N15" s="117"/>
      <c r="O15" s="94"/>
      <c r="P15" s="94"/>
      <c r="Q15" s="98"/>
    </row>
    <row r="16" spans="1:17" ht="31.5" x14ac:dyDescent="0.25">
      <c r="A16" s="94">
        <v>5</v>
      </c>
      <c r="B16" s="98" t="s">
        <v>140</v>
      </c>
      <c r="C16" s="117">
        <v>70922</v>
      </c>
      <c r="D16" s="118">
        <f t="shared" si="0"/>
        <v>37720</v>
      </c>
      <c r="E16" s="117"/>
      <c r="F16" s="117"/>
      <c r="G16" s="117"/>
      <c r="H16" s="99">
        <v>37720</v>
      </c>
      <c r="I16" s="117"/>
      <c r="J16" s="117"/>
      <c r="K16" s="117"/>
      <c r="L16" s="117"/>
      <c r="M16" s="117"/>
      <c r="N16" s="117"/>
      <c r="O16" s="94"/>
      <c r="P16" s="94"/>
      <c r="Q16" s="98"/>
    </row>
    <row r="17" spans="1:17" x14ac:dyDescent="0.25">
      <c r="A17" s="94">
        <v>6</v>
      </c>
      <c r="B17" s="98" t="s">
        <v>139</v>
      </c>
      <c r="C17" s="117">
        <v>70911</v>
      </c>
      <c r="D17" s="118">
        <f t="shared" si="0"/>
        <v>113360</v>
      </c>
      <c r="E17" s="117"/>
      <c r="F17" s="117"/>
      <c r="G17" s="117"/>
      <c r="H17" s="99">
        <v>113360</v>
      </c>
      <c r="I17" s="117"/>
      <c r="J17" s="117"/>
      <c r="K17" s="117"/>
      <c r="L17" s="117"/>
      <c r="M17" s="117"/>
      <c r="N17" s="117"/>
      <c r="O17" s="94"/>
      <c r="P17" s="94"/>
      <c r="Q17" s="98"/>
    </row>
    <row r="18" spans="1:17" x14ac:dyDescent="0.25">
      <c r="A18" s="94">
        <v>7</v>
      </c>
      <c r="B18" s="98" t="s">
        <v>130</v>
      </c>
      <c r="C18" s="117">
        <v>70111</v>
      </c>
      <c r="D18" s="118">
        <f t="shared" si="0"/>
        <v>223549</v>
      </c>
      <c r="E18" s="117"/>
      <c r="F18" s="117"/>
      <c r="G18" s="117"/>
      <c r="H18" s="99"/>
      <c r="I18" s="117"/>
      <c r="J18" s="117"/>
      <c r="K18" s="117"/>
      <c r="L18" s="117"/>
      <c r="M18" s="117"/>
      <c r="N18" s="117"/>
      <c r="O18" s="94">
        <v>223549</v>
      </c>
      <c r="P18" s="94"/>
      <c r="Q18" s="98"/>
    </row>
    <row r="19" spans="1:17" ht="63" x14ac:dyDescent="0.25">
      <c r="A19" s="94">
        <v>8</v>
      </c>
      <c r="B19" s="98" t="s">
        <v>154</v>
      </c>
      <c r="C19" s="117">
        <v>70922</v>
      </c>
      <c r="D19" s="118">
        <f t="shared" si="0"/>
        <v>35400</v>
      </c>
      <c r="E19" s="117"/>
      <c r="F19" s="117"/>
      <c r="G19" s="117"/>
      <c r="H19" s="99"/>
      <c r="I19" s="117"/>
      <c r="J19" s="117"/>
      <c r="K19" s="98">
        <v>35400</v>
      </c>
      <c r="L19" s="117"/>
      <c r="M19" s="117"/>
      <c r="N19" s="117"/>
      <c r="O19" s="94"/>
      <c r="P19" s="94"/>
      <c r="Q19" s="98"/>
    </row>
    <row r="20" spans="1:17" ht="63" x14ac:dyDescent="0.25">
      <c r="A20" s="94">
        <v>9</v>
      </c>
      <c r="B20" s="98" t="s">
        <v>151</v>
      </c>
      <c r="C20" s="117">
        <v>70111</v>
      </c>
      <c r="D20" s="118">
        <f t="shared" si="0"/>
        <v>126953</v>
      </c>
      <c r="E20" s="117"/>
      <c r="F20" s="117"/>
      <c r="G20" s="117"/>
      <c r="H20" s="99">
        <v>126953</v>
      </c>
      <c r="I20" s="117"/>
      <c r="J20" s="117"/>
      <c r="K20" s="117"/>
      <c r="L20" s="117"/>
      <c r="M20" s="117"/>
      <c r="N20" s="117"/>
      <c r="O20" s="94"/>
      <c r="P20" s="94"/>
      <c r="Q20" s="98"/>
    </row>
    <row r="21" spans="1:17" ht="78.75" x14ac:dyDescent="0.25">
      <c r="A21" s="94">
        <v>10</v>
      </c>
      <c r="B21" s="98" t="s">
        <v>149</v>
      </c>
      <c r="C21" s="117">
        <v>70111</v>
      </c>
      <c r="D21" s="118">
        <f t="shared" si="0"/>
        <v>157900</v>
      </c>
      <c r="E21" s="117"/>
      <c r="F21" s="117"/>
      <c r="G21" s="117"/>
      <c r="H21" s="98">
        <v>157900</v>
      </c>
      <c r="I21" s="117"/>
      <c r="J21" s="117"/>
      <c r="K21" s="117"/>
      <c r="L21" s="117"/>
      <c r="M21" s="117"/>
      <c r="N21" s="117"/>
      <c r="O21" s="94"/>
      <c r="P21" s="94"/>
      <c r="Q21" s="98"/>
    </row>
    <row r="22" spans="1:17" ht="63" x14ac:dyDescent="0.25">
      <c r="A22" s="94">
        <v>11</v>
      </c>
      <c r="B22" s="98" t="s">
        <v>150</v>
      </c>
      <c r="C22" s="117">
        <v>70111</v>
      </c>
      <c r="D22" s="118">
        <f t="shared" si="0"/>
        <v>355572</v>
      </c>
      <c r="E22" s="117"/>
      <c r="F22" s="117"/>
      <c r="G22" s="117"/>
      <c r="H22" s="99">
        <v>355572</v>
      </c>
      <c r="I22" s="117"/>
      <c r="J22" s="117"/>
      <c r="K22" s="117"/>
      <c r="L22" s="117"/>
      <c r="M22" s="117"/>
      <c r="N22" s="117"/>
      <c r="O22" s="94"/>
      <c r="P22" s="94"/>
      <c r="Q22" s="98"/>
    </row>
    <row r="23" spans="1:17" ht="47.25" x14ac:dyDescent="0.25">
      <c r="A23" s="94">
        <v>12</v>
      </c>
      <c r="B23" s="98" t="s">
        <v>152</v>
      </c>
      <c r="C23" s="117">
        <v>70111</v>
      </c>
      <c r="D23" s="118">
        <f t="shared" si="0"/>
        <v>420766</v>
      </c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9">
        <v>420766</v>
      </c>
      <c r="P23" s="94"/>
      <c r="Q23" s="98"/>
    </row>
    <row r="24" spans="1:17" ht="63" x14ac:dyDescent="0.25">
      <c r="A24" s="94">
        <v>13</v>
      </c>
      <c r="B24" s="98" t="s">
        <v>162</v>
      </c>
      <c r="C24" s="117">
        <v>70111</v>
      </c>
      <c r="D24" s="118">
        <f t="shared" ref="D24" si="1">SUM(E24:Q24)</f>
        <v>27900</v>
      </c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98">
        <v>27900</v>
      </c>
      <c r="P24" s="98"/>
      <c r="Q24" s="98"/>
    </row>
    <row r="25" spans="1:17" ht="63" x14ac:dyDescent="0.25">
      <c r="A25" s="94">
        <v>14</v>
      </c>
      <c r="B25" s="98" t="s">
        <v>163</v>
      </c>
      <c r="C25" s="117">
        <v>70111</v>
      </c>
      <c r="D25" s="118">
        <f t="shared" si="0"/>
        <v>204300</v>
      </c>
      <c r="E25" s="117"/>
      <c r="F25" s="117"/>
      <c r="G25" s="117"/>
      <c r="H25" s="117"/>
      <c r="I25" s="117"/>
      <c r="J25" s="117"/>
      <c r="K25" s="117"/>
      <c r="L25" s="117"/>
      <c r="M25" s="117"/>
      <c r="N25" s="117"/>
      <c r="O25" s="98">
        <v>204300</v>
      </c>
      <c r="P25" s="98"/>
      <c r="Q25" s="98"/>
    </row>
    <row r="26" spans="1:17" ht="78.75" x14ac:dyDescent="0.25">
      <c r="A26" s="94">
        <v>15</v>
      </c>
      <c r="B26" s="98" t="s">
        <v>164</v>
      </c>
      <c r="C26" s="117">
        <v>70111</v>
      </c>
      <c r="D26" s="118">
        <f t="shared" si="0"/>
        <v>109600</v>
      </c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98">
        <v>109600</v>
      </c>
      <c r="P26" s="98"/>
      <c r="Q26" s="98"/>
    </row>
    <row r="27" spans="1:17" ht="63" x14ac:dyDescent="0.25">
      <c r="A27" s="94">
        <v>16</v>
      </c>
      <c r="B27" s="98" t="s">
        <v>153</v>
      </c>
      <c r="C27" s="117">
        <v>70111</v>
      </c>
      <c r="D27" s="118">
        <f t="shared" si="0"/>
        <v>18200</v>
      </c>
      <c r="E27" s="117"/>
      <c r="F27" s="117"/>
      <c r="G27" s="117"/>
      <c r="H27" s="99">
        <v>18200</v>
      </c>
      <c r="I27" s="117"/>
      <c r="J27" s="117"/>
      <c r="K27" s="117"/>
      <c r="L27" s="117"/>
      <c r="M27" s="117"/>
      <c r="N27" s="117"/>
      <c r="O27" s="94"/>
      <c r="P27" s="94"/>
      <c r="Q27" s="98"/>
    </row>
    <row r="28" spans="1:17" ht="47.25" x14ac:dyDescent="0.25">
      <c r="A28" s="94">
        <v>17</v>
      </c>
      <c r="B28" s="114" t="s">
        <v>156</v>
      </c>
      <c r="C28" s="117">
        <v>70111</v>
      </c>
      <c r="D28" s="118">
        <f t="shared" si="0"/>
        <v>29822</v>
      </c>
      <c r="E28" s="117"/>
      <c r="F28" s="117"/>
      <c r="G28" s="117"/>
      <c r="H28" s="100">
        <v>29822</v>
      </c>
      <c r="I28" s="117"/>
      <c r="J28" s="117"/>
      <c r="K28" s="117"/>
      <c r="L28" s="117"/>
      <c r="M28" s="117"/>
      <c r="N28" s="117"/>
      <c r="O28" s="94"/>
      <c r="P28" s="94"/>
      <c r="Q28" s="94"/>
    </row>
    <row r="29" spans="1:17" ht="63" x14ac:dyDescent="0.25">
      <c r="A29" s="94">
        <v>18</v>
      </c>
      <c r="B29" s="114" t="s">
        <v>157</v>
      </c>
      <c r="C29" s="117">
        <v>70111</v>
      </c>
      <c r="D29" s="118">
        <f t="shared" si="0"/>
        <v>15000</v>
      </c>
      <c r="E29" s="117"/>
      <c r="F29" s="117"/>
      <c r="G29" s="117"/>
      <c r="H29" s="100">
        <v>15000</v>
      </c>
      <c r="I29" s="117"/>
      <c r="J29" s="117"/>
      <c r="K29" s="117"/>
      <c r="L29" s="117"/>
      <c r="M29" s="117"/>
      <c r="N29" s="117"/>
      <c r="O29" s="94"/>
      <c r="P29" s="94"/>
      <c r="Q29" s="94"/>
    </row>
    <row r="30" spans="1:17" ht="47.25" x14ac:dyDescent="0.25">
      <c r="A30" s="94">
        <v>19</v>
      </c>
      <c r="B30" s="114" t="s">
        <v>158</v>
      </c>
      <c r="C30" s="117">
        <v>70821</v>
      </c>
      <c r="D30" s="118">
        <f t="shared" si="0"/>
        <v>4862</v>
      </c>
      <c r="E30" s="117"/>
      <c r="F30" s="117"/>
      <c r="G30" s="117"/>
      <c r="H30" s="117"/>
      <c r="I30" s="117"/>
      <c r="J30" s="117"/>
      <c r="K30" s="101">
        <v>4862</v>
      </c>
      <c r="L30" s="117"/>
      <c r="M30" s="117"/>
      <c r="N30" s="117"/>
      <c r="O30" s="94"/>
      <c r="P30" s="94"/>
      <c r="Q30" s="94"/>
    </row>
    <row r="31" spans="1:17" ht="47.25" x14ac:dyDescent="0.25">
      <c r="A31" s="94">
        <v>20</v>
      </c>
      <c r="B31" s="114" t="s">
        <v>159</v>
      </c>
      <c r="C31" s="117">
        <v>70823</v>
      </c>
      <c r="D31" s="118">
        <f t="shared" si="0"/>
        <v>2992</v>
      </c>
      <c r="E31" s="117"/>
      <c r="F31" s="117"/>
      <c r="G31" s="117"/>
      <c r="H31" s="117"/>
      <c r="I31" s="117"/>
      <c r="J31" s="117"/>
      <c r="K31" s="101">
        <v>2992</v>
      </c>
      <c r="L31" s="117"/>
      <c r="M31" s="117"/>
      <c r="N31" s="117"/>
      <c r="O31" s="94"/>
      <c r="P31" s="94"/>
      <c r="Q31" s="94"/>
    </row>
    <row r="32" spans="1:17" ht="110.25" x14ac:dyDescent="0.25">
      <c r="A32" s="94">
        <v>21</v>
      </c>
      <c r="B32" s="98" t="s">
        <v>143</v>
      </c>
      <c r="C32" s="117">
        <v>70111</v>
      </c>
      <c r="D32" s="118">
        <f t="shared" si="0"/>
        <v>200000</v>
      </c>
      <c r="E32" s="117"/>
      <c r="F32" s="117"/>
      <c r="G32" s="117"/>
      <c r="H32" s="117"/>
      <c r="I32" s="117"/>
      <c r="J32" s="117"/>
      <c r="K32" s="117"/>
      <c r="L32" s="117"/>
      <c r="M32" s="117"/>
      <c r="N32" s="117">
        <v>200000</v>
      </c>
      <c r="O32" s="94"/>
      <c r="P32" s="94"/>
      <c r="Q32" s="94"/>
    </row>
    <row r="33" spans="1:17" ht="63" x14ac:dyDescent="0.25">
      <c r="A33" s="94">
        <v>22</v>
      </c>
      <c r="B33" s="115" t="s">
        <v>132</v>
      </c>
      <c r="C33" s="117"/>
      <c r="D33" s="118">
        <f t="shared" si="0"/>
        <v>124500</v>
      </c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94"/>
      <c r="P33" s="94"/>
      <c r="Q33" s="94">
        <v>124500</v>
      </c>
    </row>
    <row r="34" spans="1:17" ht="78.75" x14ac:dyDescent="0.25">
      <c r="A34" s="94">
        <v>23</v>
      </c>
      <c r="B34" s="115" t="s">
        <v>133</v>
      </c>
      <c r="C34" s="117"/>
      <c r="D34" s="118">
        <f t="shared" si="0"/>
        <v>1430403</v>
      </c>
      <c r="E34" s="117"/>
      <c r="F34" s="117"/>
      <c r="G34" s="117"/>
      <c r="H34" s="117"/>
      <c r="I34" s="117"/>
      <c r="J34" s="117"/>
      <c r="K34" s="117"/>
      <c r="L34" s="117"/>
      <c r="M34" s="117"/>
      <c r="N34" s="117"/>
      <c r="O34" s="94">
        <v>1430403</v>
      </c>
      <c r="P34" s="94"/>
      <c r="Q34" s="94"/>
    </row>
    <row r="35" spans="1:17" ht="78.75" x14ac:dyDescent="0.25">
      <c r="A35" s="94">
        <v>24</v>
      </c>
      <c r="B35" s="115" t="s">
        <v>134</v>
      </c>
      <c r="C35" s="117"/>
      <c r="D35" s="118">
        <f t="shared" si="0"/>
        <v>1127536</v>
      </c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94">
        <v>1127536</v>
      </c>
      <c r="P35" s="94"/>
      <c r="Q35" s="94"/>
    </row>
    <row r="36" spans="1:17" ht="78.75" x14ac:dyDescent="0.25">
      <c r="A36" s="94">
        <v>25</v>
      </c>
      <c r="B36" s="98" t="s">
        <v>128</v>
      </c>
      <c r="C36" s="117"/>
      <c r="D36" s="118">
        <f t="shared" si="0"/>
        <v>312000</v>
      </c>
      <c r="E36" s="117"/>
      <c r="F36" s="117"/>
      <c r="G36" s="117"/>
      <c r="H36" s="117">
        <v>21000</v>
      </c>
      <c r="I36" s="117"/>
      <c r="J36" s="117"/>
      <c r="K36" s="117">
        <f>106000+50000+65000</f>
        <v>221000</v>
      </c>
      <c r="L36" s="117"/>
      <c r="M36" s="117"/>
      <c r="N36" s="117"/>
      <c r="O36" s="94">
        <v>70000</v>
      </c>
      <c r="P36" s="94"/>
      <c r="Q36" s="94"/>
    </row>
    <row r="37" spans="1:17" ht="63" x14ac:dyDescent="0.25">
      <c r="A37" s="94">
        <v>26</v>
      </c>
      <c r="B37" s="116" t="s">
        <v>135</v>
      </c>
      <c r="C37" s="120"/>
      <c r="D37" s="118">
        <f t="shared" si="0"/>
        <v>5771462</v>
      </c>
      <c r="E37" s="120"/>
      <c r="F37" s="120"/>
      <c r="G37" s="120"/>
      <c r="H37" s="120"/>
      <c r="I37" s="120"/>
      <c r="J37" s="120"/>
      <c r="K37" s="121"/>
      <c r="L37" s="108"/>
      <c r="M37" s="108"/>
      <c r="N37" s="108"/>
      <c r="O37" s="108">
        <v>5771462</v>
      </c>
      <c r="P37" s="108"/>
      <c r="Q37" s="108"/>
    </row>
    <row r="38" spans="1:17" ht="47.25" x14ac:dyDescent="0.25">
      <c r="A38" s="94">
        <v>27</v>
      </c>
      <c r="B38" s="115" t="s">
        <v>136</v>
      </c>
      <c r="C38" s="117"/>
      <c r="D38" s="118">
        <f t="shared" si="0"/>
        <v>2000000</v>
      </c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94"/>
      <c r="P38" s="94"/>
      <c r="Q38" s="94">
        <v>2000000</v>
      </c>
    </row>
    <row r="39" spans="1:17" ht="63" x14ac:dyDescent="0.25">
      <c r="A39" s="94">
        <v>28</v>
      </c>
      <c r="B39" s="98" t="s">
        <v>119</v>
      </c>
      <c r="C39" s="99">
        <v>70111</v>
      </c>
      <c r="D39" s="118">
        <f t="shared" ref="D39:D48" si="2">SUM(E39:Q39)</f>
        <v>109637</v>
      </c>
      <c r="E39" s="122"/>
      <c r="F39" s="123"/>
      <c r="G39" s="108"/>
      <c r="H39" s="108"/>
      <c r="I39" s="108"/>
      <c r="J39" s="108"/>
      <c r="K39" s="108"/>
      <c r="L39" s="108"/>
      <c r="M39" s="108"/>
      <c r="N39" s="108"/>
      <c r="O39" s="108">
        <v>109637</v>
      </c>
      <c r="P39" s="108"/>
      <c r="Q39" s="108"/>
    </row>
    <row r="40" spans="1:17" ht="63" x14ac:dyDescent="0.25">
      <c r="A40" s="94">
        <v>29</v>
      </c>
      <c r="B40" s="98" t="s">
        <v>120</v>
      </c>
      <c r="C40" s="99">
        <v>70821</v>
      </c>
      <c r="D40" s="118">
        <f t="shared" si="2"/>
        <v>262490</v>
      </c>
      <c r="E40" s="123"/>
      <c r="F40" s="123"/>
      <c r="G40" s="108"/>
      <c r="H40" s="108"/>
      <c r="I40" s="108"/>
      <c r="J40" s="108"/>
      <c r="K40" s="108"/>
      <c r="L40" s="108"/>
      <c r="M40" s="108"/>
      <c r="N40" s="108"/>
      <c r="O40" s="108">
        <v>262490</v>
      </c>
      <c r="P40" s="108"/>
      <c r="Q40" s="108"/>
    </row>
    <row r="41" spans="1:17" ht="47.25" x14ac:dyDescent="0.25">
      <c r="A41" s="94">
        <v>30</v>
      </c>
      <c r="B41" s="98" t="s">
        <v>145</v>
      </c>
      <c r="C41" s="99">
        <v>70111</v>
      </c>
      <c r="D41" s="118">
        <f t="shared" si="2"/>
        <v>545111</v>
      </c>
      <c r="E41" s="123"/>
      <c r="F41" s="123"/>
      <c r="G41" s="108"/>
      <c r="H41" s="108"/>
      <c r="I41" s="108"/>
      <c r="J41" s="108"/>
      <c r="K41" s="108"/>
      <c r="L41" s="108"/>
      <c r="M41" s="108"/>
      <c r="N41" s="108"/>
      <c r="O41" s="108">
        <v>545111</v>
      </c>
      <c r="P41" s="108"/>
      <c r="Q41" s="108"/>
    </row>
    <row r="42" spans="1:17" ht="78.75" x14ac:dyDescent="0.25">
      <c r="A42" s="94">
        <v>31</v>
      </c>
      <c r="B42" s="98" t="s">
        <v>121</v>
      </c>
      <c r="C42" s="99">
        <v>70111</v>
      </c>
      <c r="D42" s="118">
        <f t="shared" ref="D42" si="3">SUM(E42:Q42)</f>
        <v>115000</v>
      </c>
      <c r="E42" s="122"/>
      <c r="F42" s="123"/>
      <c r="G42" s="108"/>
      <c r="H42" s="108">
        <v>115000</v>
      </c>
      <c r="I42" s="108"/>
      <c r="J42" s="108"/>
      <c r="K42" s="108"/>
      <c r="L42" s="108"/>
      <c r="M42" s="108"/>
      <c r="N42" s="108"/>
      <c r="O42" s="108"/>
      <c r="P42" s="108"/>
      <c r="Q42" s="108"/>
    </row>
    <row r="43" spans="1:17" ht="48.6" customHeight="1" x14ac:dyDescent="0.25">
      <c r="A43" s="94">
        <v>32</v>
      </c>
      <c r="B43" s="106" t="s">
        <v>147</v>
      </c>
      <c r="C43" s="99"/>
      <c r="D43" s="118">
        <f t="shared" si="2"/>
        <v>880985.8</v>
      </c>
      <c r="E43" s="122"/>
      <c r="F43" s="123"/>
      <c r="G43" s="108"/>
      <c r="H43" s="108"/>
      <c r="I43" s="108"/>
      <c r="J43" s="108"/>
      <c r="K43" s="108"/>
      <c r="L43" s="108"/>
      <c r="M43" s="108"/>
      <c r="N43" s="108"/>
      <c r="O43" s="108">
        <v>880985.8</v>
      </c>
      <c r="P43" s="108"/>
      <c r="Q43" s="108"/>
    </row>
    <row r="44" spans="1:17" ht="47.25" x14ac:dyDescent="0.25">
      <c r="A44" s="94">
        <v>33</v>
      </c>
      <c r="B44" s="106" t="s">
        <v>148</v>
      </c>
      <c r="C44" s="99"/>
      <c r="D44" s="118">
        <f t="shared" si="2"/>
        <v>230000</v>
      </c>
      <c r="E44" s="122"/>
      <c r="F44" s="123"/>
      <c r="G44" s="108"/>
      <c r="H44" s="108"/>
      <c r="I44" s="108"/>
      <c r="J44" s="108"/>
      <c r="K44" s="108"/>
      <c r="L44" s="108"/>
      <c r="M44" s="108"/>
      <c r="N44" s="108"/>
      <c r="O44" s="108">
        <v>230000</v>
      </c>
      <c r="P44" s="108"/>
      <c r="Q44" s="108"/>
    </row>
    <row r="45" spans="1:17" ht="173.25" x14ac:dyDescent="0.25">
      <c r="A45" s="94">
        <v>34</v>
      </c>
      <c r="B45" s="98" t="s">
        <v>174</v>
      </c>
      <c r="C45" s="99">
        <v>70111</v>
      </c>
      <c r="D45" s="118">
        <f t="shared" si="2"/>
        <v>507562</v>
      </c>
      <c r="E45" s="122"/>
      <c r="F45" s="123"/>
      <c r="G45" s="108"/>
      <c r="H45" s="108"/>
      <c r="I45" s="108"/>
      <c r="J45" s="108"/>
      <c r="K45" s="108"/>
      <c r="L45" s="108"/>
      <c r="M45" s="108"/>
      <c r="N45" s="108"/>
      <c r="O45" s="108">
        <v>507562</v>
      </c>
      <c r="P45" s="108"/>
      <c r="Q45" s="108"/>
    </row>
    <row r="46" spans="1:17" ht="172.9" customHeight="1" x14ac:dyDescent="0.25">
      <c r="A46" s="94">
        <v>35</v>
      </c>
      <c r="B46" s="98" t="s">
        <v>175</v>
      </c>
      <c r="C46" s="99">
        <v>70111</v>
      </c>
      <c r="D46" s="118">
        <f t="shared" si="2"/>
        <v>274341</v>
      </c>
      <c r="E46" s="122"/>
      <c r="F46" s="123"/>
      <c r="G46" s="108"/>
      <c r="H46" s="108"/>
      <c r="I46" s="108"/>
      <c r="J46" s="108"/>
      <c r="K46" s="108"/>
      <c r="L46" s="108"/>
      <c r="M46" s="108"/>
      <c r="N46" s="108"/>
      <c r="O46" s="108">
        <f>398645-124304</f>
        <v>274341</v>
      </c>
      <c r="P46" s="108"/>
      <c r="Q46" s="108"/>
    </row>
    <row r="47" spans="1:17" ht="50.45" customHeight="1" x14ac:dyDescent="0.25">
      <c r="A47" s="94">
        <v>36</v>
      </c>
      <c r="B47" s="98" t="s">
        <v>146</v>
      </c>
      <c r="C47" s="99">
        <v>70111</v>
      </c>
      <c r="D47" s="118">
        <f t="shared" si="2"/>
        <v>104600</v>
      </c>
      <c r="E47" s="122"/>
      <c r="F47" s="123"/>
      <c r="G47" s="108"/>
      <c r="H47" s="108"/>
      <c r="I47" s="108"/>
      <c r="J47" s="108"/>
      <c r="K47" s="108"/>
      <c r="L47" s="108"/>
      <c r="M47" s="108"/>
      <c r="N47" s="108"/>
      <c r="O47" s="108">
        <v>104600</v>
      </c>
      <c r="P47" s="108"/>
      <c r="Q47" s="108"/>
    </row>
    <row r="48" spans="1:17" ht="47.25" x14ac:dyDescent="0.25">
      <c r="A48" s="94">
        <v>37</v>
      </c>
      <c r="B48" s="98" t="s">
        <v>122</v>
      </c>
      <c r="C48" s="99">
        <v>70111</v>
      </c>
      <c r="D48" s="118">
        <f t="shared" si="2"/>
        <v>479800</v>
      </c>
      <c r="E48" s="122"/>
      <c r="F48" s="123"/>
      <c r="G48" s="108"/>
      <c r="H48" s="108"/>
      <c r="I48" s="108"/>
      <c r="J48" s="108"/>
      <c r="K48" s="108"/>
      <c r="L48" s="108"/>
      <c r="M48" s="108"/>
      <c r="N48" s="108"/>
      <c r="O48" s="108">
        <v>479800</v>
      </c>
      <c r="P48" s="108"/>
      <c r="Q48" s="108"/>
    </row>
    <row r="49" spans="1:20" ht="47.25" x14ac:dyDescent="0.25">
      <c r="A49" s="94">
        <v>38</v>
      </c>
      <c r="B49" s="98" t="s">
        <v>123</v>
      </c>
      <c r="C49" s="99">
        <v>70111</v>
      </c>
      <c r="D49" s="118">
        <f t="shared" ref="D49:D50" si="4">SUM(E49:Q49)</f>
        <v>135800</v>
      </c>
      <c r="E49" s="122"/>
      <c r="F49" s="123"/>
      <c r="G49" s="108"/>
      <c r="H49" s="108">
        <v>135800</v>
      </c>
      <c r="I49" s="108"/>
      <c r="J49" s="108"/>
      <c r="K49" s="108"/>
      <c r="L49" s="108"/>
      <c r="M49" s="108"/>
      <c r="N49" s="108"/>
      <c r="O49" s="108"/>
      <c r="P49" s="108"/>
      <c r="Q49" s="108"/>
    </row>
    <row r="50" spans="1:20" x14ac:dyDescent="0.25">
      <c r="A50" s="94">
        <v>39</v>
      </c>
      <c r="B50" s="98" t="s">
        <v>168</v>
      </c>
      <c r="C50" s="99"/>
      <c r="D50" s="118">
        <f t="shared" si="4"/>
        <v>1557952.34</v>
      </c>
      <c r="E50" s="122"/>
      <c r="F50" s="123"/>
      <c r="G50" s="108"/>
      <c r="H50" s="108"/>
      <c r="I50" s="108"/>
      <c r="J50" s="108"/>
      <c r="K50" s="108"/>
      <c r="L50" s="108"/>
      <c r="M50" s="108"/>
      <c r="N50" s="108"/>
      <c r="O50" s="108">
        <v>1557952.34</v>
      </c>
      <c r="P50" s="108"/>
      <c r="Q50" s="108"/>
    </row>
    <row r="51" spans="1:20" x14ac:dyDescent="0.25">
      <c r="A51" s="108"/>
      <c r="B51" s="102"/>
      <c r="C51" s="102"/>
      <c r="D51" s="107">
        <f t="shared" ref="D51:D52" si="5">SUM(E51:Q51)</f>
        <v>0</v>
      </c>
      <c r="E51" s="104"/>
      <c r="F51" s="105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</row>
    <row r="52" spans="1:20" x14ac:dyDescent="0.25">
      <c r="A52" s="108"/>
      <c r="B52" s="102"/>
      <c r="C52" s="102"/>
      <c r="D52" s="107">
        <f t="shared" si="5"/>
        <v>0</v>
      </c>
      <c r="E52" s="105"/>
      <c r="F52" s="105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</row>
    <row r="53" spans="1:20" x14ac:dyDescent="0.25">
      <c r="A53" s="179" t="s">
        <v>74</v>
      </c>
      <c r="B53" s="180"/>
      <c r="C53" s="181"/>
      <c r="D53" s="109">
        <f>SUM(E53:Q53)</f>
        <v>18431312.140000001</v>
      </c>
      <c r="E53" s="110">
        <f t="shared" ref="E53:Q53" si="6">SUM(E12:E52)</f>
        <v>0</v>
      </c>
      <c r="F53" s="110">
        <f t="shared" si="6"/>
        <v>0</v>
      </c>
      <c r="G53" s="110">
        <f t="shared" si="6"/>
        <v>0</v>
      </c>
      <c r="H53" s="110">
        <f t="shared" si="6"/>
        <v>1235407</v>
      </c>
      <c r="I53" s="110">
        <f t="shared" si="6"/>
        <v>0</v>
      </c>
      <c r="J53" s="110">
        <f t="shared" si="6"/>
        <v>0</v>
      </c>
      <c r="K53" s="110">
        <f t="shared" si="6"/>
        <v>533410</v>
      </c>
      <c r="L53" s="110">
        <f t="shared" si="6"/>
        <v>0</v>
      </c>
      <c r="M53" s="110">
        <f t="shared" si="6"/>
        <v>0</v>
      </c>
      <c r="N53" s="110">
        <f t="shared" si="6"/>
        <v>200000</v>
      </c>
      <c r="O53" s="110">
        <f t="shared" si="6"/>
        <v>14337995.140000001</v>
      </c>
      <c r="P53" s="110">
        <f t="shared" si="6"/>
        <v>0</v>
      </c>
      <c r="Q53" s="110">
        <f t="shared" si="6"/>
        <v>2124500</v>
      </c>
    </row>
    <row r="54" spans="1:20" x14ac:dyDescent="0.25">
      <c r="D54" s="93">
        <f>18431312.14-D53</f>
        <v>0</v>
      </c>
    </row>
    <row r="55" spans="1:20" x14ac:dyDescent="0.25">
      <c r="D55" s="93"/>
    </row>
    <row r="57" spans="1:20" x14ac:dyDescent="0.25">
      <c r="A57" s="173" t="s">
        <v>170</v>
      </c>
      <c r="B57" s="173"/>
      <c r="C57" s="91"/>
      <c r="D57" s="91"/>
      <c r="E57" s="91"/>
      <c r="F57" s="91"/>
      <c r="G57" s="91"/>
      <c r="H57" s="91"/>
      <c r="I57" s="91"/>
      <c r="J57" s="91"/>
      <c r="K57" s="91" t="s">
        <v>172</v>
      </c>
      <c r="L57" s="91"/>
      <c r="M57" s="91"/>
      <c r="N57" s="91"/>
      <c r="O57" s="91"/>
      <c r="P57" s="91"/>
      <c r="Q57" s="91"/>
      <c r="R57" s="91"/>
      <c r="S57" s="91"/>
      <c r="T57" s="91"/>
    </row>
    <row r="58" spans="1:20" x14ac:dyDescent="0.25">
      <c r="A58" s="111"/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1"/>
      <c r="O58" s="111"/>
      <c r="P58" s="111"/>
      <c r="Q58" s="111"/>
    </row>
    <row r="59" spans="1:20" x14ac:dyDescent="0.25">
      <c r="A59" s="174" t="s">
        <v>171</v>
      </c>
      <c r="B59" s="174"/>
      <c r="C59" s="91"/>
      <c r="D59" s="91"/>
      <c r="E59" s="91"/>
      <c r="F59" s="91"/>
      <c r="G59" s="91"/>
      <c r="H59" s="91"/>
      <c r="I59" s="91"/>
      <c r="J59" s="91"/>
      <c r="K59" s="91" t="s">
        <v>173</v>
      </c>
      <c r="L59" s="91"/>
      <c r="M59" s="91"/>
      <c r="N59" s="91"/>
      <c r="O59" s="91"/>
      <c r="P59" s="91"/>
      <c r="Q59" s="91"/>
      <c r="R59" s="91"/>
      <c r="S59" s="91"/>
      <c r="T59" s="91"/>
    </row>
    <row r="62" spans="1:20" x14ac:dyDescent="0.25">
      <c r="A62" s="91"/>
      <c r="B62" s="91"/>
      <c r="C62" s="91"/>
      <c r="D62" s="91"/>
      <c r="H62" s="175" t="s">
        <v>76</v>
      </c>
      <c r="I62" s="175"/>
      <c r="J62" s="175"/>
      <c r="K62" s="175"/>
      <c r="L62" s="175"/>
      <c r="M62" s="175"/>
      <c r="N62" s="175"/>
      <c r="O62" s="175"/>
      <c r="P62" s="175"/>
      <c r="Q62" s="175"/>
    </row>
    <row r="63" spans="1:20" x14ac:dyDescent="0.25">
      <c r="A63" s="91"/>
      <c r="B63" s="91"/>
      <c r="C63" s="91"/>
      <c r="D63" s="91"/>
      <c r="H63" s="91" t="s">
        <v>125</v>
      </c>
      <c r="I63" s="91"/>
      <c r="J63" s="91"/>
      <c r="K63" s="91"/>
      <c r="L63" s="91"/>
      <c r="M63" s="91"/>
      <c r="N63" s="91"/>
      <c r="O63" s="91"/>
      <c r="P63" s="91"/>
    </row>
    <row r="64" spans="1:20" x14ac:dyDescent="0.25">
      <c r="A64" s="91"/>
      <c r="B64" s="91"/>
      <c r="C64" s="91"/>
      <c r="D64" s="91"/>
      <c r="H64" s="91" t="s">
        <v>126</v>
      </c>
      <c r="I64" s="91"/>
      <c r="J64" s="91"/>
      <c r="K64" s="91"/>
      <c r="L64" s="91"/>
      <c r="M64" s="91"/>
      <c r="N64" s="91"/>
      <c r="O64" s="91"/>
      <c r="P64" s="91"/>
    </row>
    <row r="65" spans="1:19" x14ac:dyDescent="0.25">
      <c r="A65" s="91"/>
      <c r="B65" s="91"/>
      <c r="C65" s="91"/>
      <c r="D65" s="91"/>
      <c r="E65" s="91"/>
      <c r="H65" s="91" t="s">
        <v>127</v>
      </c>
      <c r="I65" s="91"/>
      <c r="J65" s="91"/>
      <c r="K65" s="91"/>
      <c r="L65" s="91"/>
      <c r="M65" s="91"/>
      <c r="N65" s="91"/>
      <c r="O65" s="91"/>
      <c r="P65" s="91"/>
      <c r="Q65" s="91"/>
    </row>
    <row r="67" spans="1:19" x14ac:dyDescent="0.25">
      <c r="A67" s="175" t="s">
        <v>124</v>
      </c>
      <c r="B67" s="175"/>
      <c r="C67" s="175"/>
      <c r="D67" s="175"/>
      <c r="E67" s="175"/>
      <c r="F67" s="175"/>
      <c r="G67" s="175"/>
      <c r="H67" s="175"/>
      <c r="I67" s="175"/>
      <c r="J67" s="175"/>
      <c r="K67" s="175"/>
      <c r="L67" s="175"/>
      <c r="M67" s="175"/>
      <c r="N67" s="175"/>
      <c r="O67" s="175"/>
      <c r="P67" s="175"/>
      <c r="Q67" s="175"/>
    </row>
    <row r="68" spans="1:19" x14ac:dyDescent="0.25">
      <c r="A68" s="175" t="s">
        <v>169</v>
      </c>
      <c r="B68" s="175"/>
      <c r="C68" s="175"/>
      <c r="D68" s="175"/>
      <c r="E68" s="175"/>
      <c r="F68" s="175"/>
      <c r="G68" s="175"/>
      <c r="H68" s="175"/>
      <c r="I68" s="175"/>
      <c r="J68" s="175"/>
      <c r="K68" s="175"/>
      <c r="L68" s="175"/>
      <c r="M68" s="175"/>
      <c r="N68" s="175"/>
      <c r="O68" s="175"/>
      <c r="P68" s="175"/>
      <c r="Q68" s="175"/>
    </row>
    <row r="69" spans="1:19" x14ac:dyDescent="0.25">
      <c r="D69" s="93"/>
    </row>
    <row r="70" spans="1:19" x14ac:dyDescent="0.25">
      <c r="A70" s="176" t="s">
        <v>72</v>
      </c>
      <c r="B70" s="176" t="s">
        <v>114</v>
      </c>
      <c r="C70" s="177" t="s">
        <v>73</v>
      </c>
      <c r="D70" s="177" t="s">
        <v>115</v>
      </c>
      <c r="E70" s="178"/>
      <c r="F70" s="178"/>
      <c r="G70" s="178"/>
      <c r="H70" s="178"/>
      <c r="I70" s="178"/>
      <c r="J70" s="178"/>
      <c r="K70" s="178"/>
      <c r="L70" s="178"/>
      <c r="M70" s="178"/>
      <c r="N70" s="178"/>
      <c r="O70" s="178"/>
      <c r="P70" s="178"/>
      <c r="Q70" s="178"/>
    </row>
    <row r="71" spans="1:19" x14ac:dyDescent="0.25">
      <c r="A71" s="176"/>
      <c r="B71" s="176"/>
      <c r="C71" s="177"/>
      <c r="D71" s="177"/>
      <c r="E71" s="177" t="s">
        <v>116</v>
      </c>
      <c r="F71" s="177" t="s">
        <v>117</v>
      </c>
      <c r="G71" s="177">
        <v>22141100</v>
      </c>
      <c r="H71" s="177" t="s">
        <v>118</v>
      </c>
      <c r="I71" s="177">
        <v>22181100</v>
      </c>
      <c r="J71" s="177">
        <v>22221100</v>
      </c>
      <c r="K71" s="177">
        <v>22221200</v>
      </c>
      <c r="L71" s="177"/>
      <c r="M71" s="177">
        <v>25121100</v>
      </c>
      <c r="N71" s="176">
        <v>27211500</v>
      </c>
      <c r="O71" s="176">
        <v>3111</v>
      </c>
      <c r="P71" s="176">
        <v>3112</v>
      </c>
      <c r="Q71" s="176">
        <v>3113</v>
      </c>
    </row>
    <row r="72" spans="1:19" x14ac:dyDescent="0.25">
      <c r="A72" s="176"/>
      <c r="B72" s="176"/>
      <c r="C72" s="177"/>
      <c r="D72" s="177"/>
      <c r="E72" s="177"/>
      <c r="F72" s="177"/>
      <c r="G72" s="177"/>
      <c r="H72" s="177"/>
      <c r="I72" s="177"/>
      <c r="J72" s="177"/>
      <c r="K72" s="177"/>
      <c r="L72" s="177"/>
      <c r="M72" s="177"/>
      <c r="N72" s="176"/>
      <c r="O72" s="176"/>
      <c r="P72" s="176"/>
      <c r="Q72" s="176"/>
    </row>
    <row r="73" spans="1:19" ht="47.25" x14ac:dyDescent="0.25">
      <c r="A73" s="95">
        <v>1</v>
      </c>
      <c r="B73" s="96" t="s">
        <v>155</v>
      </c>
      <c r="C73" s="97">
        <v>70111</v>
      </c>
      <c r="D73" s="107">
        <v>360000</v>
      </c>
      <c r="E73" s="97"/>
      <c r="F73" s="97"/>
      <c r="G73" s="97"/>
      <c r="H73" s="97"/>
      <c r="I73" s="97"/>
      <c r="J73" s="97"/>
      <c r="K73" s="97"/>
      <c r="L73" s="97"/>
      <c r="M73" s="97"/>
      <c r="N73" s="97"/>
      <c r="O73" s="95">
        <v>360000</v>
      </c>
      <c r="P73" s="95"/>
      <c r="Q73" s="96"/>
    </row>
    <row r="74" spans="1:19" x14ac:dyDescent="0.25">
      <c r="A74" s="95">
        <v>2</v>
      </c>
      <c r="B74" s="96" t="s">
        <v>131</v>
      </c>
      <c r="C74" s="97">
        <v>70111</v>
      </c>
      <c r="D74" s="107">
        <v>140000</v>
      </c>
      <c r="E74" s="97"/>
      <c r="F74" s="97"/>
      <c r="G74" s="97"/>
      <c r="H74" s="97">
        <v>140000</v>
      </c>
      <c r="I74" s="97"/>
      <c r="J74" s="97"/>
      <c r="K74" s="97"/>
      <c r="L74" s="97"/>
      <c r="M74" s="97"/>
      <c r="N74" s="97"/>
      <c r="O74" s="95"/>
      <c r="P74" s="95"/>
      <c r="Q74" s="96"/>
    </row>
    <row r="75" spans="1:19" ht="78.75" x14ac:dyDescent="0.25">
      <c r="A75" s="95">
        <v>3</v>
      </c>
      <c r="B75" s="98" t="s">
        <v>160</v>
      </c>
      <c r="C75" s="97">
        <v>70111</v>
      </c>
      <c r="D75" s="107">
        <f t="shared" ref="D75:D82" si="7">SUM(E75:Q75)</f>
        <v>3105076.5</v>
      </c>
      <c r="E75" s="97"/>
      <c r="F75" s="97"/>
      <c r="G75" s="97"/>
      <c r="H75" s="97"/>
      <c r="I75" s="97"/>
      <c r="J75" s="97"/>
      <c r="K75" s="97"/>
      <c r="L75" s="97"/>
      <c r="M75" s="97"/>
      <c r="N75" s="97"/>
      <c r="O75" s="112">
        <v>3105076.5</v>
      </c>
      <c r="P75" s="95"/>
      <c r="Q75" s="96"/>
    </row>
    <row r="76" spans="1:19" ht="63" x14ac:dyDescent="0.25">
      <c r="A76" s="95">
        <v>4</v>
      </c>
      <c r="B76" s="96" t="s">
        <v>161</v>
      </c>
      <c r="C76" s="97">
        <v>70911</v>
      </c>
      <c r="D76" s="107">
        <f t="shared" si="7"/>
        <v>3597427.24</v>
      </c>
      <c r="E76" s="97"/>
      <c r="F76" s="97"/>
      <c r="G76" s="97"/>
      <c r="H76" s="97"/>
      <c r="I76" s="97"/>
      <c r="J76" s="97">
        <v>1000000</v>
      </c>
      <c r="K76" s="97"/>
      <c r="L76" s="97"/>
      <c r="M76" s="97"/>
      <c r="N76" s="97"/>
      <c r="O76" s="97">
        <f>3597427.24-2000000</f>
        <v>1597427.2400000002</v>
      </c>
      <c r="P76" s="97">
        <v>1000000</v>
      </c>
      <c r="Q76" s="96"/>
    </row>
    <row r="77" spans="1:19" ht="47.25" x14ac:dyDescent="0.25">
      <c r="A77" s="95">
        <v>5</v>
      </c>
      <c r="B77" s="96" t="s">
        <v>165</v>
      </c>
      <c r="C77" s="97">
        <v>70111</v>
      </c>
      <c r="D77" s="107">
        <f t="shared" si="7"/>
        <v>1645171</v>
      </c>
      <c r="E77" s="97"/>
      <c r="F77" s="97"/>
      <c r="G77" s="97"/>
      <c r="H77" s="97"/>
      <c r="I77" s="113"/>
      <c r="J77" s="97"/>
      <c r="K77" s="97"/>
      <c r="L77" s="97"/>
      <c r="M77" s="97"/>
      <c r="N77" s="97"/>
      <c r="O77" s="95">
        <v>1645171</v>
      </c>
      <c r="P77" s="95"/>
      <c r="Q77" s="96"/>
      <c r="S77" s="92">
        <v>8426630</v>
      </c>
    </row>
    <row r="78" spans="1:19" ht="63" x14ac:dyDescent="0.25">
      <c r="A78" s="95">
        <v>6</v>
      </c>
      <c r="B78" s="96" t="s">
        <v>166</v>
      </c>
      <c r="C78" s="97">
        <v>70111</v>
      </c>
      <c r="D78" s="107">
        <f t="shared" si="7"/>
        <v>900000</v>
      </c>
      <c r="E78" s="97"/>
      <c r="F78" s="97"/>
      <c r="G78" s="97"/>
      <c r="H78" s="97"/>
      <c r="I78" s="113"/>
      <c r="J78" s="97"/>
      <c r="K78" s="97"/>
      <c r="L78" s="97"/>
      <c r="M78" s="97"/>
      <c r="N78" s="97"/>
      <c r="O78" s="113"/>
      <c r="P78" s="95">
        <v>900000</v>
      </c>
      <c r="Q78" s="96"/>
    </row>
    <row r="79" spans="1:19" x14ac:dyDescent="0.25">
      <c r="A79" s="95">
        <v>7</v>
      </c>
      <c r="B79" s="96" t="s">
        <v>167</v>
      </c>
      <c r="C79" s="97">
        <v>70111</v>
      </c>
      <c r="D79" s="107">
        <f t="shared" si="7"/>
        <v>500000</v>
      </c>
      <c r="E79" s="97"/>
      <c r="F79" s="97"/>
      <c r="G79" s="97"/>
      <c r="H79" s="97">
        <v>500000</v>
      </c>
      <c r="I79" s="113"/>
      <c r="J79" s="97"/>
      <c r="K79" s="97"/>
      <c r="L79" s="97"/>
      <c r="M79" s="97"/>
      <c r="N79" s="97"/>
      <c r="O79" s="113"/>
      <c r="P79" s="95"/>
      <c r="Q79" s="96"/>
    </row>
    <row r="80" spans="1:19" x14ac:dyDescent="0.25">
      <c r="A80" s="95">
        <v>8</v>
      </c>
      <c r="B80" s="96" t="s">
        <v>168</v>
      </c>
      <c r="C80" s="97">
        <v>70111</v>
      </c>
      <c r="D80" s="107">
        <f t="shared" si="7"/>
        <v>1776379.34</v>
      </c>
      <c r="E80" s="97"/>
      <c r="F80" s="97"/>
      <c r="G80" s="97"/>
      <c r="H80" s="97"/>
      <c r="I80" s="97"/>
      <c r="J80" s="97"/>
      <c r="K80" s="97"/>
      <c r="L80" s="97"/>
      <c r="M80" s="97"/>
      <c r="N80" s="97"/>
      <c r="O80" s="113">
        <v>1776379.34</v>
      </c>
      <c r="P80" s="95"/>
      <c r="Q80" s="96"/>
    </row>
    <row r="81" spans="1:20" x14ac:dyDescent="0.25">
      <c r="A81" s="95"/>
      <c r="B81" s="96"/>
      <c r="C81" s="97"/>
      <c r="D81" s="107">
        <f t="shared" si="7"/>
        <v>0</v>
      </c>
      <c r="E81" s="97"/>
      <c r="F81" s="97"/>
      <c r="G81" s="97"/>
      <c r="H81" s="97"/>
      <c r="I81" s="97"/>
      <c r="J81" s="97"/>
      <c r="K81" s="97"/>
      <c r="L81" s="97"/>
      <c r="M81" s="97"/>
      <c r="N81" s="97"/>
      <c r="O81" s="95"/>
      <c r="P81" s="95"/>
      <c r="Q81" s="96"/>
    </row>
    <row r="82" spans="1:20" x14ac:dyDescent="0.25">
      <c r="A82" s="108"/>
      <c r="B82" s="102"/>
      <c r="C82" s="102"/>
      <c r="D82" s="107">
        <f t="shared" si="7"/>
        <v>0</v>
      </c>
      <c r="E82" s="105"/>
      <c r="F82" s="105"/>
      <c r="G82" s="103"/>
      <c r="H82" s="103"/>
      <c r="I82" s="103"/>
      <c r="J82" s="103"/>
      <c r="K82" s="103"/>
      <c r="L82" s="103"/>
      <c r="M82" s="103"/>
      <c r="N82" s="103"/>
      <c r="O82" s="103"/>
      <c r="P82" s="103"/>
      <c r="Q82" s="103"/>
    </row>
    <row r="83" spans="1:20" x14ac:dyDescent="0.25">
      <c r="A83" s="108"/>
      <c r="B83" s="103"/>
      <c r="C83" s="103"/>
      <c r="D83" s="105">
        <f>SUM(E83:Q83)</f>
        <v>12024054.08</v>
      </c>
      <c r="E83" s="103">
        <f t="shared" ref="E83:Q83" si="8">SUM(E73:E82)</f>
        <v>0</v>
      </c>
      <c r="F83" s="103">
        <f t="shared" si="8"/>
        <v>0</v>
      </c>
      <c r="G83" s="103">
        <f t="shared" si="8"/>
        <v>0</v>
      </c>
      <c r="H83" s="103">
        <f t="shared" si="8"/>
        <v>640000</v>
      </c>
      <c r="I83" s="103">
        <f t="shared" si="8"/>
        <v>0</v>
      </c>
      <c r="J83" s="103">
        <f t="shared" si="8"/>
        <v>1000000</v>
      </c>
      <c r="K83" s="103">
        <f t="shared" si="8"/>
        <v>0</v>
      </c>
      <c r="L83" s="103">
        <f t="shared" si="8"/>
        <v>0</v>
      </c>
      <c r="M83" s="103">
        <f t="shared" si="8"/>
        <v>0</v>
      </c>
      <c r="N83" s="103">
        <f t="shared" si="8"/>
        <v>0</v>
      </c>
      <c r="O83" s="103">
        <f t="shared" si="8"/>
        <v>8484054.0800000001</v>
      </c>
      <c r="P83" s="103">
        <f t="shared" si="8"/>
        <v>1900000</v>
      </c>
      <c r="Q83" s="103">
        <f t="shared" si="8"/>
        <v>0</v>
      </c>
    </row>
    <row r="84" spans="1:20" x14ac:dyDescent="0.25">
      <c r="D84" s="93">
        <f>12024054.08-D83</f>
        <v>0</v>
      </c>
    </row>
    <row r="86" spans="1:20" x14ac:dyDescent="0.25">
      <c r="A86" s="173" t="s">
        <v>170</v>
      </c>
      <c r="B86" s="173"/>
      <c r="C86" s="91"/>
      <c r="D86" s="91"/>
      <c r="E86" s="91"/>
      <c r="F86" s="91"/>
      <c r="G86" s="91"/>
      <c r="H86" s="91"/>
      <c r="I86" s="91"/>
      <c r="J86" s="91"/>
      <c r="K86" s="91" t="s">
        <v>172</v>
      </c>
      <c r="L86" s="91"/>
      <c r="M86" s="91"/>
      <c r="N86" s="91"/>
      <c r="O86" s="91"/>
      <c r="P86" s="91"/>
      <c r="Q86" s="91"/>
      <c r="R86" s="91"/>
      <c r="S86" s="91"/>
      <c r="T86" s="91"/>
    </row>
    <row r="87" spans="1:20" x14ac:dyDescent="0.25">
      <c r="A87" s="111"/>
      <c r="B87" s="111"/>
      <c r="C87" s="111"/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1"/>
    </row>
    <row r="88" spans="1:20" x14ac:dyDescent="0.25">
      <c r="A88" s="174" t="s">
        <v>171</v>
      </c>
      <c r="B88" s="174"/>
      <c r="C88" s="91"/>
      <c r="D88" s="91"/>
      <c r="E88" s="91"/>
      <c r="F88" s="91"/>
      <c r="G88" s="91"/>
      <c r="H88" s="91"/>
      <c r="I88" s="91"/>
      <c r="J88" s="91"/>
      <c r="K88" s="91" t="s">
        <v>173</v>
      </c>
      <c r="L88" s="91"/>
      <c r="M88" s="91"/>
      <c r="N88" s="91"/>
      <c r="O88" s="91"/>
      <c r="P88" s="91"/>
      <c r="Q88" s="91"/>
      <c r="R88" s="91"/>
      <c r="S88" s="91"/>
      <c r="T88" s="91"/>
    </row>
  </sheetData>
  <mergeCells count="47">
    <mergeCell ref="M71:M72"/>
    <mergeCell ref="O71:O72"/>
    <mergeCell ref="Q71:Q72"/>
    <mergeCell ref="N71:N72"/>
    <mergeCell ref="P71:P72"/>
    <mergeCell ref="H62:Q62"/>
    <mergeCell ref="A67:Q67"/>
    <mergeCell ref="L10:L11"/>
    <mergeCell ref="M10:M11"/>
    <mergeCell ref="O10:O11"/>
    <mergeCell ref="N10:N11"/>
    <mergeCell ref="I10:I11"/>
    <mergeCell ref="P10:P11"/>
    <mergeCell ref="A53:C53"/>
    <mergeCell ref="A57:B57"/>
    <mergeCell ref="A59:B59"/>
    <mergeCell ref="H1:Q1"/>
    <mergeCell ref="A6:Q6"/>
    <mergeCell ref="A7:Q7"/>
    <mergeCell ref="A9:A11"/>
    <mergeCell ref="B9:B11"/>
    <mergeCell ref="C9:C11"/>
    <mergeCell ref="D9:D11"/>
    <mergeCell ref="E9:Q9"/>
    <mergeCell ref="E10:E11"/>
    <mergeCell ref="F10:F11"/>
    <mergeCell ref="G10:G11"/>
    <mergeCell ref="H10:H11"/>
    <mergeCell ref="Q10:Q11"/>
    <mergeCell ref="J10:J11"/>
    <mergeCell ref="K10:K11"/>
    <mergeCell ref="A86:B86"/>
    <mergeCell ref="A88:B88"/>
    <mergeCell ref="A68:Q68"/>
    <mergeCell ref="A70:A72"/>
    <mergeCell ref="B70:B72"/>
    <mergeCell ref="C70:C72"/>
    <mergeCell ref="D70:D72"/>
    <mergeCell ref="E70:Q70"/>
    <mergeCell ref="E71:E72"/>
    <mergeCell ref="F71:F72"/>
    <mergeCell ref="G71:G72"/>
    <mergeCell ref="H71:H72"/>
    <mergeCell ref="I71:I72"/>
    <mergeCell ref="J71:J72"/>
    <mergeCell ref="K71:K72"/>
    <mergeCell ref="L71:L72"/>
  </mergeCells>
  <pageMargins left="0.51181102362204722" right="0.11811023622047245" top="0.55118110236220474" bottom="0.15748031496062992" header="0.31496062992125984" footer="0.31496062992125984"/>
  <pageSetup paperSize="9" scale="81" orientation="landscape" r:id="rId1"/>
  <rowBreaks count="1" manualBreakCount="1">
    <brk id="61" max="16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tabSelected="1" workbookViewId="0">
      <selection activeCell="I26" sqref="I26"/>
    </sheetView>
  </sheetViews>
  <sheetFormatPr defaultRowHeight="15" x14ac:dyDescent="0.25"/>
  <sheetData>
    <row r="1" spans="1:20" x14ac:dyDescent="0.25">
      <c r="A1" s="124"/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97" t="s">
        <v>176</v>
      </c>
      <c r="M1" s="197"/>
      <c r="N1" s="197"/>
      <c r="O1" s="197"/>
      <c r="P1" s="197"/>
      <c r="Q1" s="197"/>
      <c r="R1" s="197"/>
      <c r="S1" s="197"/>
      <c r="T1" s="197"/>
    </row>
    <row r="2" spans="1:20" x14ac:dyDescent="0.25">
      <c r="A2" s="124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98" t="s">
        <v>177</v>
      </c>
      <c r="M2" s="198"/>
      <c r="N2" s="198"/>
      <c r="O2" s="198"/>
      <c r="P2" s="198"/>
      <c r="Q2" s="198"/>
      <c r="R2" s="198"/>
      <c r="S2" s="198"/>
      <c r="T2" s="198"/>
    </row>
    <row r="3" spans="1:20" x14ac:dyDescent="0.25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98" t="s">
        <v>178</v>
      </c>
      <c r="L3" s="198"/>
      <c r="M3" s="198"/>
      <c r="N3" s="198"/>
      <c r="O3" s="198"/>
      <c r="P3" s="198"/>
      <c r="Q3" s="198"/>
      <c r="R3" s="198"/>
      <c r="S3" s="198"/>
      <c r="T3" s="198"/>
    </row>
    <row r="4" spans="1:20" ht="15.75" x14ac:dyDescent="0.25">
      <c r="A4" s="199" t="s">
        <v>179</v>
      </c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</row>
    <row r="5" spans="1:20" x14ac:dyDescent="0.25">
      <c r="A5" s="200" t="s">
        <v>180</v>
      </c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</row>
    <row r="6" spans="1:20" x14ac:dyDescent="0.25">
      <c r="A6" s="125"/>
      <c r="B6" s="125"/>
      <c r="C6" s="125"/>
      <c r="D6" s="125"/>
      <c r="E6" s="125"/>
      <c r="F6" s="126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</row>
    <row r="7" spans="1:20" x14ac:dyDescent="0.25">
      <c r="A7" s="127" t="s">
        <v>181</v>
      </c>
      <c r="B7" s="127" t="s">
        <v>182</v>
      </c>
      <c r="C7" s="127"/>
      <c r="D7" s="128" t="s">
        <v>183</v>
      </c>
      <c r="E7" s="128" t="s">
        <v>184</v>
      </c>
      <c r="F7" s="128">
        <v>1</v>
      </c>
      <c r="G7" s="128">
        <v>2</v>
      </c>
      <c r="H7" s="128">
        <v>3</v>
      </c>
      <c r="I7" s="128" t="s">
        <v>185</v>
      </c>
      <c r="J7" s="128">
        <v>4</v>
      </c>
      <c r="K7" s="128">
        <v>5</v>
      </c>
      <c r="L7" s="128">
        <v>6</v>
      </c>
      <c r="M7" s="128" t="s">
        <v>186</v>
      </c>
      <c r="N7" s="128">
        <v>7</v>
      </c>
      <c r="O7" s="128">
        <v>8</v>
      </c>
      <c r="P7" s="128">
        <v>9</v>
      </c>
      <c r="Q7" s="128" t="s">
        <v>187</v>
      </c>
      <c r="R7" s="128">
        <v>10</v>
      </c>
      <c r="S7" s="128">
        <v>11</v>
      </c>
      <c r="T7" s="128">
        <v>12</v>
      </c>
    </row>
    <row r="8" spans="1:20" x14ac:dyDescent="0.25">
      <c r="A8" s="128">
        <v>11111100</v>
      </c>
      <c r="B8" s="127" t="s">
        <v>188</v>
      </c>
      <c r="C8" s="127"/>
      <c r="D8" s="129">
        <f>E8+I8+M8+Q8</f>
        <v>144651.6</v>
      </c>
      <c r="E8" s="130">
        <f>F8+G8+H8</f>
        <v>33270</v>
      </c>
      <c r="F8" s="131">
        <f>33270/3</f>
        <v>11090</v>
      </c>
      <c r="G8" s="131">
        <v>11090</v>
      </c>
      <c r="H8" s="131">
        <v>11090</v>
      </c>
      <c r="I8" s="130">
        <f>J8+K8+L8</f>
        <v>40503</v>
      </c>
      <c r="J8" s="131">
        <f>40503/3</f>
        <v>13501</v>
      </c>
      <c r="K8" s="131">
        <v>13501</v>
      </c>
      <c r="L8" s="131">
        <v>13501</v>
      </c>
      <c r="M8" s="129">
        <f>N8+O8+P8</f>
        <v>33270</v>
      </c>
      <c r="N8" s="131">
        <f>33270/3</f>
        <v>11090</v>
      </c>
      <c r="O8" s="131">
        <v>11090</v>
      </c>
      <c r="P8" s="131">
        <v>11090</v>
      </c>
      <c r="Q8" s="129">
        <f>R8+S8+T8</f>
        <v>37608.600000000006</v>
      </c>
      <c r="R8" s="131">
        <f>37608.6/3</f>
        <v>12536.199999999999</v>
      </c>
      <c r="S8" s="131">
        <v>12536.2</v>
      </c>
      <c r="T8" s="131">
        <v>12536.2</v>
      </c>
    </row>
    <row r="9" spans="1:20" x14ac:dyDescent="0.25">
      <c r="A9" s="128">
        <v>11122300</v>
      </c>
      <c r="B9" s="127" t="s">
        <v>189</v>
      </c>
      <c r="C9" s="127"/>
      <c r="D9" s="129">
        <f t="shared" ref="D9:D26" si="0">E9+I9+M9+Q9</f>
        <v>130</v>
      </c>
      <c r="E9" s="130">
        <f t="shared" ref="E9:E26" si="1">F9+G9+H9</f>
        <v>26</v>
      </c>
      <c r="F9" s="132">
        <v>8.6</v>
      </c>
      <c r="G9" s="132">
        <v>8.6</v>
      </c>
      <c r="H9" s="132">
        <v>8.8000000000000007</v>
      </c>
      <c r="I9" s="130">
        <f t="shared" ref="I9:I26" si="2">J9+K9+L9</f>
        <v>33</v>
      </c>
      <c r="J9" s="133">
        <f>33/3</f>
        <v>11</v>
      </c>
      <c r="K9" s="133">
        <v>11</v>
      </c>
      <c r="L9" s="133">
        <v>11</v>
      </c>
      <c r="M9" s="129">
        <f t="shared" ref="M9:M26" si="3">N9+O9+P9</f>
        <v>33</v>
      </c>
      <c r="N9" s="133">
        <v>11</v>
      </c>
      <c r="O9" s="133">
        <v>11</v>
      </c>
      <c r="P9" s="133">
        <v>11</v>
      </c>
      <c r="Q9" s="129">
        <f t="shared" ref="Q9:Q26" si="4">R9+S9+T9</f>
        <v>38</v>
      </c>
      <c r="R9" s="132">
        <v>12.7</v>
      </c>
      <c r="S9" s="132">
        <v>12.7</v>
      </c>
      <c r="T9" s="132">
        <v>12.6</v>
      </c>
    </row>
    <row r="10" spans="1:20" x14ac:dyDescent="0.25">
      <c r="A10" s="128">
        <v>11311200</v>
      </c>
      <c r="B10" s="127" t="s">
        <v>190</v>
      </c>
      <c r="C10" s="127"/>
      <c r="D10" s="129">
        <f t="shared" si="0"/>
        <v>196.4</v>
      </c>
      <c r="E10" s="130">
        <f t="shared" si="1"/>
        <v>63</v>
      </c>
      <c r="F10" s="133">
        <f>63/3</f>
        <v>21</v>
      </c>
      <c r="G10" s="133">
        <v>21</v>
      </c>
      <c r="H10" s="133">
        <v>21</v>
      </c>
      <c r="I10" s="130">
        <f t="shared" si="2"/>
        <v>53</v>
      </c>
      <c r="J10" s="132">
        <v>17.600000000000001</v>
      </c>
      <c r="K10" s="132">
        <v>17.600000000000001</v>
      </c>
      <c r="L10" s="132">
        <v>17.8</v>
      </c>
      <c r="M10" s="129">
        <f t="shared" si="3"/>
        <v>50</v>
      </c>
      <c r="N10" s="132">
        <v>16.7</v>
      </c>
      <c r="O10" s="133">
        <v>16.7</v>
      </c>
      <c r="P10" s="132">
        <v>16.600000000000001</v>
      </c>
      <c r="Q10" s="129">
        <f t="shared" si="4"/>
        <v>30.4</v>
      </c>
      <c r="R10" s="132">
        <v>10.1</v>
      </c>
      <c r="S10" s="132">
        <v>10.1</v>
      </c>
      <c r="T10" s="132">
        <v>10.199999999999999</v>
      </c>
    </row>
    <row r="11" spans="1:20" x14ac:dyDescent="0.25">
      <c r="A11" s="128">
        <v>11312110</v>
      </c>
      <c r="B11" s="134" t="s">
        <v>191</v>
      </c>
      <c r="C11" s="135"/>
      <c r="D11" s="129">
        <f t="shared" si="0"/>
        <v>271.5</v>
      </c>
      <c r="E11" s="130">
        <f t="shared" si="1"/>
        <v>41</v>
      </c>
      <c r="F11" s="132">
        <v>13.7</v>
      </c>
      <c r="G11" s="132">
        <v>13.7</v>
      </c>
      <c r="H11" s="132">
        <v>13.6</v>
      </c>
      <c r="I11" s="130">
        <f t="shared" si="2"/>
        <v>63</v>
      </c>
      <c r="J11" s="132">
        <f>63/3</f>
        <v>21</v>
      </c>
      <c r="K11" s="132">
        <v>21</v>
      </c>
      <c r="L11" s="132">
        <v>21</v>
      </c>
      <c r="M11" s="129">
        <f t="shared" si="3"/>
        <v>167.5</v>
      </c>
      <c r="N11" s="132">
        <v>55.6</v>
      </c>
      <c r="O11" s="132">
        <v>55.9</v>
      </c>
      <c r="P11" s="132">
        <v>56</v>
      </c>
      <c r="Q11" s="129">
        <f t="shared" si="4"/>
        <v>0</v>
      </c>
      <c r="R11" s="132">
        <f>0</f>
        <v>0</v>
      </c>
      <c r="S11" s="132">
        <v>0</v>
      </c>
      <c r="T11" s="132">
        <v>0</v>
      </c>
    </row>
    <row r="12" spans="1:20" x14ac:dyDescent="0.25">
      <c r="A12" s="128">
        <v>11312120</v>
      </c>
      <c r="B12" s="127" t="s">
        <v>192</v>
      </c>
      <c r="C12" s="127"/>
      <c r="D12" s="129">
        <f t="shared" si="0"/>
        <v>1189.6333333333332</v>
      </c>
      <c r="E12" s="130">
        <f t="shared" si="1"/>
        <v>179</v>
      </c>
      <c r="F12" s="132">
        <v>59.7</v>
      </c>
      <c r="G12" s="132">
        <v>59.7</v>
      </c>
      <c r="H12" s="132">
        <v>59.6</v>
      </c>
      <c r="I12" s="130">
        <f t="shared" si="2"/>
        <v>274.0333333333333</v>
      </c>
      <c r="J12" s="133">
        <f>274/3</f>
        <v>91.333333333333329</v>
      </c>
      <c r="K12" s="132">
        <v>91.3</v>
      </c>
      <c r="L12" s="132">
        <v>91.4</v>
      </c>
      <c r="M12" s="129">
        <f t="shared" si="3"/>
        <v>736.6</v>
      </c>
      <c r="N12" s="132">
        <v>245.5</v>
      </c>
      <c r="O12" s="132">
        <v>245.5</v>
      </c>
      <c r="P12" s="132">
        <v>245.6</v>
      </c>
      <c r="Q12" s="129">
        <f t="shared" si="4"/>
        <v>0</v>
      </c>
      <c r="R12" s="132">
        <v>0</v>
      </c>
      <c r="S12" s="132">
        <v>0</v>
      </c>
      <c r="T12" s="132">
        <v>0</v>
      </c>
    </row>
    <row r="13" spans="1:20" x14ac:dyDescent="0.25">
      <c r="A13" s="128">
        <v>11321100</v>
      </c>
      <c r="B13" s="191" t="s">
        <v>193</v>
      </c>
      <c r="C13" s="192"/>
      <c r="D13" s="129">
        <f t="shared" si="0"/>
        <v>569.5</v>
      </c>
      <c r="E13" s="130">
        <f t="shared" si="1"/>
        <v>143</v>
      </c>
      <c r="F13" s="132">
        <v>47.6</v>
      </c>
      <c r="G13" s="132">
        <v>47.6</v>
      </c>
      <c r="H13" s="132">
        <v>47.8</v>
      </c>
      <c r="I13" s="130">
        <f t="shared" si="2"/>
        <v>143</v>
      </c>
      <c r="J13" s="132">
        <v>47.8</v>
      </c>
      <c r="K13" s="133">
        <v>47.6</v>
      </c>
      <c r="L13" s="132">
        <v>47.6</v>
      </c>
      <c r="M13" s="129">
        <f t="shared" si="3"/>
        <v>283.5</v>
      </c>
      <c r="N13" s="132">
        <f>283.5/3</f>
        <v>94.5</v>
      </c>
      <c r="O13" s="132">
        <v>94.5</v>
      </c>
      <c r="P13" s="133">
        <v>94.5</v>
      </c>
      <c r="Q13" s="129">
        <f t="shared" si="4"/>
        <v>0</v>
      </c>
      <c r="R13" s="132">
        <v>0</v>
      </c>
      <c r="S13" s="132">
        <v>0</v>
      </c>
      <c r="T13" s="132">
        <v>0</v>
      </c>
    </row>
    <row r="14" spans="1:20" x14ac:dyDescent="0.25">
      <c r="A14" s="128">
        <v>11321200</v>
      </c>
      <c r="B14" s="127" t="s">
        <v>194</v>
      </c>
      <c r="C14" s="127"/>
      <c r="D14" s="129">
        <f t="shared" si="0"/>
        <v>840.43333333333339</v>
      </c>
      <c r="E14" s="130">
        <f t="shared" si="1"/>
        <v>84</v>
      </c>
      <c r="F14" s="133">
        <f>84/3</f>
        <v>28</v>
      </c>
      <c r="G14" s="133">
        <v>28</v>
      </c>
      <c r="H14" s="133">
        <v>28</v>
      </c>
      <c r="I14" s="130">
        <f t="shared" si="2"/>
        <v>211.03333333333336</v>
      </c>
      <c r="J14" s="133">
        <f>211/3</f>
        <v>70.333333333333329</v>
      </c>
      <c r="K14" s="133">
        <v>70.400000000000006</v>
      </c>
      <c r="L14" s="133">
        <v>70.3</v>
      </c>
      <c r="M14" s="129">
        <f t="shared" si="3"/>
        <v>211</v>
      </c>
      <c r="N14" s="133">
        <v>70.3</v>
      </c>
      <c r="O14" s="133">
        <v>70.3</v>
      </c>
      <c r="P14" s="133">
        <v>70.400000000000006</v>
      </c>
      <c r="Q14" s="129">
        <f t="shared" si="4"/>
        <v>334.4</v>
      </c>
      <c r="R14" s="132">
        <v>111.4</v>
      </c>
      <c r="S14" s="132">
        <v>111.4</v>
      </c>
      <c r="T14" s="132">
        <v>111.6</v>
      </c>
    </row>
    <row r="15" spans="1:20" x14ac:dyDescent="0.25">
      <c r="A15" s="128">
        <v>11321300</v>
      </c>
      <c r="B15" s="127" t="s">
        <v>195</v>
      </c>
      <c r="C15" s="127"/>
      <c r="D15" s="129">
        <f t="shared" si="0"/>
        <v>9316</v>
      </c>
      <c r="E15" s="130">
        <f t="shared" si="1"/>
        <v>2888</v>
      </c>
      <c r="F15" s="132">
        <v>962.6</v>
      </c>
      <c r="G15" s="136">
        <v>962.8</v>
      </c>
      <c r="H15" s="132">
        <v>962.6</v>
      </c>
      <c r="I15" s="130">
        <f t="shared" si="2"/>
        <v>2329</v>
      </c>
      <c r="J15" s="132">
        <v>776.3</v>
      </c>
      <c r="K15" s="132">
        <v>776.4</v>
      </c>
      <c r="L15" s="132">
        <v>776.3</v>
      </c>
      <c r="M15" s="129">
        <f t="shared" si="3"/>
        <v>2329</v>
      </c>
      <c r="N15" s="132">
        <v>776.3</v>
      </c>
      <c r="O15" s="133">
        <v>776.4</v>
      </c>
      <c r="P15" s="132">
        <v>776.3</v>
      </c>
      <c r="Q15" s="129">
        <f t="shared" si="4"/>
        <v>1770</v>
      </c>
      <c r="R15" s="132">
        <f>1770/3</f>
        <v>590</v>
      </c>
      <c r="S15" s="133">
        <v>590</v>
      </c>
      <c r="T15" s="132">
        <v>590</v>
      </c>
    </row>
    <row r="16" spans="1:20" x14ac:dyDescent="0.25">
      <c r="A16" s="128">
        <v>114462290</v>
      </c>
      <c r="B16" s="134" t="s">
        <v>196</v>
      </c>
      <c r="C16" s="135"/>
      <c r="D16" s="129">
        <f t="shared" si="0"/>
        <v>20294.633333333335</v>
      </c>
      <c r="E16" s="130">
        <f t="shared" si="1"/>
        <v>5073.6000000000004</v>
      </c>
      <c r="F16" s="132">
        <f>5073.6/3</f>
        <v>1691.2</v>
      </c>
      <c r="G16" s="132">
        <v>1691.2</v>
      </c>
      <c r="H16" s="132">
        <v>1691.2</v>
      </c>
      <c r="I16" s="130">
        <f t="shared" si="2"/>
        <v>5073.7333333333336</v>
      </c>
      <c r="J16" s="132">
        <f>5073.7/3</f>
        <v>1691.2333333333333</v>
      </c>
      <c r="K16" s="132">
        <v>1691.2</v>
      </c>
      <c r="L16" s="132">
        <v>1691.3</v>
      </c>
      <c r="M16" s="129">
        <f t="shared" si="3"/>
        <v>5073.6000000000004</v>
      </c>
      <c r="N16" s="132">
        <f>5073.6/3</f>
        <v>1691.2</v>
      </c>
      <c r="O16" s="132">
        <v>1691.2</v>
      </c>
      <c r="P16" s="133">
        <v>1691.2</v>
      </c>
      <c r="Q16" s="129">
        <f t="shared" si="4"/>
        <v>5073.7</v>
      </c>
      <c r="R16" s="132">
        <v>1691.2</v>
      </c>
      <c r="S16" s="132">
        <v>1691.3</v>
      </c>
      <c r="T16" s="132">
        <v>1691.2</v>
      </c>
    </row>
    <row r="17" spans="1:20" x14ac:dyDescent="0.25">
      <c r="A17" s="137">
        <v>14151200</v>
      </c>
      <c r="B17" s="189" t="s">
        <v>197</v>
      </c>
      <c r="C17" s="190"/>
      <c r="D17" s="138">
        <f t="shared" si="0"/>
        <v>59098.5</v>
      </c>
      <c r="E17" s="139">
        <f t="shared" si="1"/>
        <v>8865</v>
      </c>
      <c r="F17" s="140">
        <f>8865/3</f>
        <v>2955</v>
      </c>
      <c r="G17" s="140">
        <v>2955</v>
      </c>
      <c r="H17" s="140">
        <v>2955</v>
      </c>
      <c r="I17" s="139">
        <f t="shared" si="2"/>
        <v>8865</v>
      </c>
      <c r="J17" s="141">
        <v>2955</v>
      </c>
      <c r="K17" s="142">
        <v>2955</v>
      </c>
      <c r="L17" s="141">
        <v>2955</v>
      </c>
      <c r="M17" s="138">
        <f t="shared" si="3"/>
        <v>14775</v>
      </c>
      <c r="N17" s="142">
        <f>14775/3</f>
        <v>4925</v>
      </c>
      <c r="O17" s="142">
        <v>4925</v>
      </c>
      <c r="P17" s="142">
        <v>4925</v>
      </c>
      <c r="Q17" s="143">
        <f t="shared" si="4"/>
        <v>26593.5</v>
      </c>
      <c r="R17" s="142">
        <f>26593.5/3</f>
        <v>8864.5</v>
      </c>
      <c r="S17" s="142">
        <v>8864.5</v>
      </c>
      <c r="T17" s="142">
        <v>8864.5</v>
      </c>
    </row>
    <row r="18" spans="1:20" x14ac:dyDescent="0.25">
      <c r="A18" s="137">
        <v>14152100</v>
      </c>
      <c r="B18" s="182" t="s">
        <v>198</v>
      </c>
      <c r="C18" s="183"/>
      <c r="D18" s="129">
        <f t="shared" si="0"/>
        <v>6500</v>
      </c>
      <c r="E18" s="130">
        <f t="shared" si="1"/>
        <v>975</v>
      </c>
      <c r="F18" s="132">
        <f>975/3</f>
        <v>325</v>
      </c>
      <c r="G18" s="132">
        <v>325</v>
      </c>
      <c r="H18" s="132">
        <v>325</v>
      </c>
      <c r="I18" s="130">
        <f t="shared" si="2"/>
        <v>1625</v>
      </c>
      <c r="J18" s="132">
        <v>541.6</v>
      </c>
      <c r="K18" s="132">
        <v>541.6</v>
      </c>
      <c r="L18" s="132">
        <v>541.79999999999995</v>
      </c>
      <c r="M18" s="129">
        <f t="shared" si="3"/>
        <v>1625</v>
      </c>
      <c r="N18" s="132">
        <v>541.6</v>
      </c>
      <c r="O18" s="132">
        <v>541.6</v>
      </c>
      <c r="P18" s="132">
        <v>541.79999999999995</v>
      </c>
      <c r="Q18" s="129">
        <f t="shared" si="4"/>
        <v>2275</v>
      </c>
      <c r="R18" s="132">
        <v>758.3</v>
      </c>
      <c r="S18" s="132">
        <v>758.3</v>
      </c>
      <c r="T18" s="132">
        <v>758.4</v>
      </c>
    </row>
    <row r="19" spans="1:20" x14ac:dyDescent="0.25">
      <c r="A19" s="137">
        <v>14152200</v>
      </c>
      <c r="B19" s="127" t="s">
        <v>199</v>
      </c>
      <c r="C19" s="127"/>
      <c r="D19" s="129">
        <f t="shared" si="0"/>
        <v>2036.7333333333331</v>
      </c>
      <c r="E19" s="130">
        <f t="shared" si="1"/>
        <v>203.6</v>
      </c>
      <c r="F19" s="132">
        <v>67.8</v>
      </c>
      <c r="G19" s="132">
        <v>67.8</v>
      </c>
      <c r="H19" s="133">
        <v>68</v>
      </c>
      <c r="I19" s="130">
        <f t="shared" si="2"/>
        <v>408</v>
      </c>
      <c r="J19" s="133">
        <f>408/3</f>
        <v>136</v>
      </c>
      <c r="K19" s="133">
        <v>136</v>
      </c>
      <c r="L19" s="133">
        <v>136</v>
      </c>
      <c r="M19" s="129">
        <f t="shared" si="3"/>
        <v>510</v>
      </c>
      <c r="N19" s="133">
        <f>510/3</f>
        <v>170</v>
      </c>
      <c r="O19" s="133">
        <v>170</v>
      </c>
      <c r="P19" s="133">
        <v>170</v>
      </c>
      <c r="Q19" s="129">
        <f t="shared" si="4"/>
        <v>915.13333333333333</v>
      </c>
      <c r="R19" s="133">
        <f>915.1/3</f>
        <v>305.03333333333336</v>
      </c>
      <c r="S19" s="133">
        <v>305</v>
      </c>
      <c r="T19" s="133">
        <v>305.10000000000002</v>
      </c>
    </row>
    <row r="20" spans="1:20" x14ac:dyDescent="0.25">
      <c r="A20" s="137">
        <v>14152600</v>
      </c>
      <c r="B20" s="191" t="s">
        <v>200</v>
      </c>
      <c r="C20" s="192"/>
      <c r="D20" s="129">
        <f t="shared" si="0"/>
        <v>680.1</v>
      </c>
      <c r="E20" s="130">
        <f t="shared" si="1"/>
        <v>102</v>
      </c>
      <c r="F20" s="144">
        <f>102/3</f>
        <v>34</v>
      </c>
      <c r="G20" s="144">
        <v>34</v>
      </c>
      <c r="H20" s="144">
        <v>34</v>
      </c>
      <c r="I20" s="130">
        <f t="shared" si="2"/>
        <v>170</v>
      </c>
      <c r="J20" s="145">
        <v>56.6</v>
      </c>
      <c r="K20" s="145">
        <v>56.7</v>
      </c>
      <c r="L20" s="145">
        <v>56.7</v>
      </c>
      <c r="M20" s="129">
        <f t="shared" si="3"/>
        <v>170</v>
      </c>
      <c r="N20" s="145">
        <v>56.6</v>
      </c>
      <c r="O20" s="144">
        <v>56.7</v>
      </c>
      <c r="P20" s="145">
        <v>56.7</v>
      </c>
      <c r="Q20" s="129">
        <f t="shared" si="4"/>
        <v>238.10000000000002</v>
      </c>
      <c r="R20" s="145">
        <v>79.400000000000006</v>
      </c>
      <c r="S20" s="145">
        <v>79.400000000000006</v>
      </c>
      <c r="T20" s="145">
        <v>79.3</v>
      </c>
    </row>
    <row r="21" spans="1:20" x14ac:dyDescent="0.25">
      <c r="A21" s="137">
        <v>1423</v>
      </c>
      <c r="B21" s="146" t="s">
        <v>201</v>
      </c>
      <c r="C21" s="147"/>
      <c r="D21" s="129">
        <f t="shared" si="0"/>
        <v>13112.900000000001</v>
      </c>
      <c r="E21" s="130">
        <f t="shared" si="1"/>
        <v>3278.2000000000003</v>
      </c>
      <c r="F21" s="144">
        <f>F22+F23</f>
        <v>1092.5999999999999</v>
      </c>
      <c r="G21" s="144">
        <f t="shared" ref="G21:H21" si="5">G22+G23</f>
        <v>1092.7</v>
      </c>
      <c r="H21" s="144">
        <f t="shared" si="5"/>
        <v>1092.9000000000001</v>
      </c>
      <c r="I21" s="130">
        <f t="shared" si="2"/>
        <v>3278.2000000000003</v>
      </c>
      <c r="J21" s="144">
        <f>J22+J23</f>
        <v>1092.5999999999999</v>
      </c>
      <c r="K21" s="144">
        <f t="shared" ref="K21:L21" si="6">K22+K23</f>
        <v>1092.7</v>
      </c>
      <c r="L21" s="144">
        <f t="shared" si="6"/>
        <v>1092.9000000000001</v>
      </c>
      <c r="M21" s="129">
        <f t="shared" si="3"/>
        <v>3278.2000000000003</v>
      </c>
      <c r="N21" s="144">
        <f>N22+N23</f>
        <v>1092.5999999999999</v>
      </c>
      <c r="O21" s="144">
        <f t="shared" ref="O21:P21" si="7">O22+O23</f>
        <v>1092.7</v>
      </c>
      <c r="P21" s="144">
        <f t="shared" si="7"/>
        <v>1092.9000000000001</v>
      </c>
      <c r="Q21" s="129">
        <f t="shared" si="4"/>
        <v>3278.3</v>
      </c>
      <c r="R21" s="144">
        <f>R22+R23</f>
        <v>1092.5999999999999</v>
      </c>
      <c r="S21" s="144">
        <f t="shared" ref="S21:T21" si="8">S22+S23</f>
        <v>1092.7</v>
      </c>
      <c r="T21" s="144">
        <f t="shared" si="8"/>
        <v>1093</v>
      </c>
    </row>
    <row r="22" spans="1:20" x14ac:dyDescent="0.25">
      <c r="A22" s="137">
        <v>14232400</v>
      </c>
      <c r="B22" s="193" t="s">
        <v>202</v>
      </c>
      <c r="C22" s="194"/>
      <c r="D22" s="138">
        <f t="shared" si="0"/>
        <v>3968</v>
      </c>
      <c r="E22" s="139">
        <f t="shared" si="1"/>
        <v>992</v>
      </c>
      <c r="F22" s="148">
        <v>330.6</v>
      </c>
      <c r="G22" s="148">
        <v>330.6</v>
      </c>
      <c r="H22" s="148">
        <v>330.8</v>
      </c>
      <c r="I22" s="139">
        <f t="shared" si="2"/>
        <v>992</v>
      </c>
      <c r="J22" s="148">
        <v>330.6</v>
      </c>
      <c r="K22" s="148">
        <v>330.6</v>
      </c>
      <c r="L22" s="148">
        <v>330.8</v>
      </c>
      <c r="M22" s="138">
        <f t="shared" si="3"/>
        <v>992</v>
      </c>
      <c r="N22" s="148">
        <v>330.6</v>
      </c>
      <c r="O22" s="148">
        <v>330.6</v>
      </c>
      <c r="P22" s="149">
        <v>330.8</v>
      </c>
      <c r="Q22" s="138">
        <f t="shared" si="4"/>
        <v>992</v>
      </c>
      <c r="R22" s="148">
        <v>330.6</v>
      </c>
      <c r="S22" s="148">
        <v>330.6</v>
      </c>
      <c r="T22" s="148">
        <v>330.8</v>
      </c>
    </row>
    <row r="23" spans="1:20" x14ac:dyDescent="0.25">
      <c r="A23" s="137">
        <v>14239400</v>
      </c>
      <c r="B23" s="193" t="s">
        <v>203</v>
      </c>
      <c r="C23" s="194"/>
      <c r="D23" s="138">
        <f t="shared" si="0"/>
        <v>9144.9</v>
      </c>
      <c r="E23" s="139">
        <f t="shared" si="1"/>
        <v>2286.1999999999998</v>
      </c>
      <c r="F23" s="150">
        <v>762</v>
      </c>
      <c r="G23" s="148">
        <v>762.1</v>
      </c>
      <c r="H23" s="148">
        <v>762.1</v>
      </c>
      <c r="I23" s="139">
        <f t="shared" si="2"/>
        <v>2286.1999999999998</v>
      </c>
      <c r="J23" s="150">
        <v>762</v>
      </c>
      <c r="K23" s="148">
        <v>762.1</v>
      </c>
      <c r="L23" s="148">
        <v>762.1</v>
      </c>
      <c r="M23" s="138">
        <f t="shared" si="3"/>
        <v>2286.1999999999998</v>
      </c>
      <c r="N23" s="150">
        <v>762</v>
      </c>
      <c r="O23" s="148">
        <v>762.1</v>
      </c>
      <c r="P23" s="148">
        <v>762.1</v>
      </c>
      <c r="Q23" s="138">
        <f t="shared" si="4"/>
        <v>2286.3000000000002</v>
      </c>
      <c r="R23" s="150">
        <v>762</v>
      </c>
      <c r="S23" s="148">
        <v>762.1</v>
      </c>
      <c r="T23" s="148">
        <v>762.2</v>
      </c>
    </row>
    <row r="24" spans="1:20" x14ac:dyDescent="0.25">
      <c r="A24" s="151">
        <v>14511400</v>
      </c>
      <c r="B24" s="195" t="s">
        <v>204</v>
      </c>
      <c r="C24" s="196"/>
      <c r="D24" s="138">
        <f t="shared" si="0"/>
        <v>29931.066666666669</v>
      </c>
      <c r="E24" s="139">
        <f t="shared" si="1"/>
        <v>7482.7666666666673</v>
      </c>
      <c r="F24" s="150">
        <f>7482.8/3</f>
        <v>2494.2666666666669</v>
      </c>
      <c r="G24" s="148">
        <v>2494.3000000000002</v>
      </c>
      <c r="H24" s="150">
        <v>2494.1999999999998</v>
      </c>
      <c r="I24" s="139">
        <f t="shared" si="2"/>
        <v>7482.7666666666673</v>
      </c>
      <c r="J24" s="150">
        <f>7482.8/3</f>
        <v>2494.2666666666669</v>
      </c>
      <c r="K24" s="148">
        <v>2494.3000000000002</v>
      </c>
      <c r="L24" s="150">
        <v>2494.1999999999998</v>
      </c>
      <c r="M24" s="138">
        <f t="shared" si="3"/>
        <v>7482.7666666666673</v>
      </c>
      <c r="N24" s="150">
        <f>7482.8/3</f>
        <v>2494.2666666666669</v>
      </c>
      <c r="O24" s="148">
        <v>2494.3000000000002</v>
      </c>
      <c r="P24" s="150">
        <v>2494.1999999999998</v>
      </c>
      <c r="Q24" s="138">
        <f t="shared" si="4"/>
        <v>7482.7666666666673</v>
      </c>
      <c r="R24" s="150">
        <f>7482.8/3</f>
        <v>2494.2666666666669</v>
      </c>
      <c r="S24" s="148">
        <v>2494.3000000000002</v>
      </c>
      <c r="T24" s="150">
        <v>2494.1999999999998</v>
      </c>
    </row>
    <row r="25" spans="1:20" x14ac:dyDescent="0.25">
      <c r="A25" s="128"/>
      <c r="B25" s="127" t="s">
        <v>205</v>
      </c>
      <c r="C25" s="127"/>
      <c r="D25" s="129">
        <f t="shared" si="0"/>
        <v>177459.6</v>
      </c>
      <c r="E25" s="130">
        <f t="shared" si="1"/>
        <v>41767.633333333331</v>
      </c>
      <c r="F25" s="131">
        <f>41767.6/3</f>
        <v>13922.533333333333</v>
      </c>
      <c r="G25" s="131">
        <v>13922.5</v>
      </c>
      <c r="H25" s="131">
        <v>13922.6</v>
      </c>
      <c r="I25" s="130">
        <f t="shared" si="2"/>
        <v>48682.666666666664</v>
      </c>
      <c r="J25" s="131">
        <f>48682.7/3</f>
        <v>16227.566666666666</v>
      </c>
      <c r="K25" s="131">
        <v>16227.6</v>
      </c>
      <c r="L25" s="131">
        <v>16227.5</v>
      </c>
      <c r="M25" s="129">
        <f t="shared" si="3"/>
        <v>42154.2</v>
      </c>
      <c r="N25" s="131">
        <f>42154.2/3</f>
        <v>14051.4</v>
      </c>
      <c r="O25" s="131">
        <v>14051.4</v>
      </c>
      <c r="P25" s="131">
        <v>14051.4</v>
      </c>
      <c r="Q25" s="129">
        <f t="shared" si="4"/>
        <v>44855.100000000006</v>
      </c>
      <c r="R25" s="131">
        <f>44855.1/3</f>
        <v>14951.699999999999</v>
      </c>
      <c r="S25" s="131">
        <v>14951.7</v>
      </c>
      <c r="T25" s="131">
        <v>14951.7</v>
      </c>
    </row>
    <row r="26" spans="1:20" x14ac:dyDescent="0.25">
      <c r="A26" s="128"/>
      <c r="B26" s="182" t="s">
        <v>206</v>
      </c>
      <c r="C26" s="183"/>
      <c r="D26" s="129">
        <f t="shared" si="0"/>
        <v>111359.4</v>
      </c>
      <c r="E26" s="130">
        <f t="shared" si="1"/>
        <v>20906.566666666666</v>
      </c>
      <c r="F26" s="131">
        <f>20906.6/3</f>
        <v>6968.8666666666659</v>
      </c>
      <c r="G26" s="131">
        <v>6968.9</v>
      </c>
      <c r="H26" s="131">
        <v>6968.8</v>
      </c>
      <c r="I26" s="130">
        <f t="shared" si="2"/>
        <v>21829.033333333333</v>
      </c>
      <c r="J26" s="131">
        <f>21829/3</f>
        <v>7276.333333333333</v>
      </c>
      <c r="K26" s="131">
        <v>7276.3</v>
      </c>
      <c r="L26" s="131">
        <v>7276.4</v>
      </c>
      <c r="M26" s="129">
        <f t="shared" si="3"/>
        <v>27841.033333333333</v>
      </c>
      <c r="N26" s="131">
        <f>27841/3</f>
        <v>9280.3333333333339</v>
      </c>
      <c r="O26" s="131">
        <v>9280.4</v>
      </c>
      <c r="P26" s="131">
        <v>9280.2999999999993</v>
      </c>
      <c r="Q26" s="129">
        <f t="shared" si="4"/>
        <v>40782.766666666663</v>
      </c>
      <c r="R26" s="131">
        <f>40782.8/3</f>
        <v>13594.266666666668</v>
      </c>
      <c r="S26" s="131">
        <v>13594.2</v>
      </c>
      <c r="T26" s="131">
        <v>13594.3</v>
      </c>
    </row>
    <row r="27" spans="1:20" x14ac:dyDescent="0.25">
      <c r="A27" s="152"/>
      <c r="B27" s="184" t="s">
        <v>207</v>
      </c>
      <c r="C27" s="184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  <c r="T27" s="184"/>
    </row>
    <row r="28" spans="1:20" x14ac:dyDescent="0.25">
      <c r="A28" s="153">
        <v>13311100</v>
      </c>
      <c r="B28" s="185" t="s">
        <v>208</v>
      </c>
      <c r="C28" s="186"/>
      <c r="D28" s="154">
        <v>0</v>
      </c>
      <c r="E28" s="154">
        <v>0</v>
      </c>
      <c r="F28" s="154"/>
      <c r="G28" s="154"/>
      <c r="H28" s="154"/>
      <c r="I28" s="154">
        <v>0</v>
      </c>
      <c r="J28" s="154"/>
      <c r="K28" s="154"/>
      <c r="L28" s="154"/>
      <c r="M28" s="154">
        <v>0</v>
      </c>
      <c r="N28" s="154"/>
      <c r="O28" s="154"/>
      <c r="P28" s="154"/>
      <c r="Q28" s="154">
        <v>0</v>
      </c>
      <c r="R28" s="154"/>
      <c r="S28" s="154"/>
      <c r="T28" s="154"/>
    </row>
    <row r="29" spans="1:20" x14ac:dyDescent="0.25">
      <c r="A29" s="153">
        <v>13311200</v>
      </c>
      <c r="B29" s="185" t="s">
        <v>209</v>
      </c>
      <c r="C29" s="186"/>
      <c r="D29" s="129">
        <f>E29+I29+M29+Q29</f>
        <v>0</v>
      </c>
      <c r="E29" s="129">
        <f>F29+G29+H29</f>
        <v>0</v>
      </c>
      <c r="F29" s="129"/>
      <c r="G29" s="129"/>
      <c r="H29" s="129"/>
      <c r="I29" s="129">
        <f>J29+K29+L29</f>
        <v>0</v>
      </c>
      <c r="J29" s="129"/>
      <c r="K29" s="129"/>
      <c r="L29" s="129"/>
      <c r="M29" s="129">
        <f>N29+O29+P29</f>
        <v>0</v>
      </c>
      <c r="N29" s="129"/>
      <c r="O29" s="129"/>
      <c r="P29" s="129"/>
      <c r="Q29" s="129">
        <f>R29+S29+T29</f>
        <v>0</v>
      </c>
      <c r="R29" s="129"/>
      <c r="S29" s="129"/>
      <c r="T29" s="129"/>
    </row>
    <row r="30" spans="1:20" x14ac:dyDescent="0.25">
      <c r="A30" s="128"/>
      <c r="B30" s="187" t="s">
        <v>210</v>
      </c>
      <c r="C30" s="188"/>
      <c r="D30" s="129">
        <f t="shared" ref="D30:D31" si="9">E30+I30+M30+Q30</f>
        <v>288819</v>
      </c>
      <c r="E30" s="129">
        <f t="shared" ref="E30:E31" si="10">F30+G30+H30</f>
        <v>62674.200000000004</v>
      </c>
      <c r="F30" s="131">
        <f>F25+F26</f>
        <v>20891.399999999998</v>
      </c>
      <c r="G30" s="131">
        <f t="shared" ref="G30:H30" si="11">G25+G26</f>
        <v>20891.400000000001</v>
      </c>
      <c r="H30" s="131">
        <f t="shared" si="11"/>
        <v>20891.400000000001</v>
      </c>
      <c r="I30" s="129">
        <f t="shared" ref="I30:I31" si="12">J30+K30+L30</f>
        <v>70511.700000000012</v>
      </c>
      <c r="J30" s="131">
        <f>J25+J26</f>
        <v>23503.899999999998</v>
      </c>
      <c r="K30" s="131">
        <f t="shared" ref="K30:L30" si="13">K25+K26</f>
        <v>23503.9</v>
      </c>
      <c r="L30" s="131">
        <f t="shared" si="13"/>
        <v>23503.9</v>
      </c>
      <c r="M30" s="129">
        <f t="shared" ref="M30:M31" si="14">N30+O30+P30</f>
        <v>69995.233333333337</v>
      </c>
      <c r="N30" s="131">
        <f>N25+N26</f>
        <v>23331.733333333334</v>
      </c>
      <c r="O30" s="131">
        <f t="shared" ref="O30:P30" si="15">O25+O26</f>
        <v>23331.8</v>
      </c>
      <c r="P30" s="131">
        <f t="shared" si="15"/>
        <v>23331.699999999997</v>
      </c>
      <c r="Q30" s="129">
        <f t="shared" ref="Q30:Q31" si="16">R30+S30+T30</f>
        <v>85637.866666666669</v>
      </c>
      <c r="R30" s="131">
        <f>R25+R26</f>
        <v>28545.966666666667</v>
      </c>
      <c r="S30" s="131">
        <f t="shared" ref="S30:T30" si="17">S25+S26</f>
        <v>28545.9</v>
      </c>
      <c r="T30" s="131">
        <f t="shared" si="17"/>
        <v>28546</v>
      </c>
    </row>
    <row r="31" spans="1:20" x14ac:dyDescent="0.25">
      <c r="A31" s="128"/>
      <c r="B31" s="127" t="s">
        <v>211</v>
      </c>
      <c r="C31" s="127"/>
      <c r="D31" s="129">
        <f t="shared" si="9"/>
        <v>275706.09999999998</v>
      </c>
      <c r="E31" s="129">
        <f t="shared" si="10"/>
        <v>59396</v>
      </c>
      <c r="F31" s="131">
        <f>F30-F21</f>
        <v>19798.8</v>
      </c>
      <c r="G31" s="131">
        <f t="shared" ref="G31:H31" si="18">G30-G21</f>
        <v>19798.7</v>
      </c>
      <c r="H31" s="131">
        <f t="shared" si="18"/>
        <v>19798.5</v>
      </c>
      <c r="I31" s="129">
        <f t="shared" si="12"/>
        <v>67233.5</v>
      </c>
      <c r="J31" s="131">
        <f>J30-J21</f>
        <v>22411.3</v>
      </c>
      <c r="K31" s="131">
        <f t="shared" ref="K31:L31" si="19">K30-K21</f>
        <v>22411.200000000001</v>
      </c>
      <c r="L31" s="131">
        <f t="shared" si="19"/>
        <v>22411</v>
      </c>
      <c r="M31" s="129">
        <f t="shared" si="14"/>
        <v>66717.033333333326</v>
      </c>
      <c r="N31" s="131">
        <f>N30-N21</f>
        <v>22239.133333333335</v>
      </c>
      <c r="O31" s="131">
        <f t="shared" ref="O31:P31" si="20">O30-O21</f>
        <v>22239.1</v>
      </c>
      <c r="P31" s="131">
        <f t="shared" si="20"/>
        <v>22238.799999999996</v>
      </c>
      <c r="Q31" s="129">
        <f t="shared" si="16"/>
        <v>82359.566666666666</v>
      </c>
      <c r="R31" s="131">
        <f>R30-R21</f>
        <v>27453.366666666669</v>
      </c>
      <c r="S31" s="131">
        <f t="shared" ref="S31:T31" si="21">S30-S21</f>
        <v>27453.200000000001</v>
      </c>
      <c r="T31" s="131">
        <f t="shared" si="21"/>
        <v>27453</v>
      </c>
    </row>
    <row r="32" spans="1:20" x14ac:dyDescent="0.25">
      <c r="A32" s="155"/>
      <c r="B32" s="155"/>
      <c r="C32" s="155"/>
      <c r="D32" s="156"/>
      <c r="E32" s="156"/>
      <c r="F32" s="157"/>
      <c r="G32" s="157"/>
      <c r="H32" s="157"/>
      <c r="I32" s="156"/>
      <c r="J32" s="157"/>
      <c r="K32" s="157"/>
      <c r="L32" s="157"/>
      <c r="M32" s="156"/>
      <c r="N32" s="157"/>
      <c r="O32" s="157"/>
      <c r="P32" s="157"/>
      <c r="Q32" s="156"/>
      <c r="R32" s="157"/>
      <c r="S32" s="157"/>
      <c r="T32" s="157"/>
    </row>
    <row r="33" spans="1:20" x14ac:dyDescent="0.25">
      <c r="A33" s="155"/>
      <c r="B33" s="126" t="s">
        <v>212</v>
      </c>
      <c r="C33" s="126"/>
      <c r="D33" s="158"/>
      <c r="E33" s="158"/>
      <c r="F33" s="159"/>
      <c r="G33" s="159"/>
      <c r="H33" s="159"/>
      <c r="I33" s="158"/>
      <c r="J33" s="158" t="s">
        <v>213</v>
      </c>
      <c r="K33" s="158"/>
      <c r="L33" s="158"/>
      <c r="M33" s="156"/>
      <c r="N33" s="157"/>
      <c r="O33" s="157"/>
      <c r="P33" s="157"/>
      <c r="Q33" s="156"/>
      <c r="R33" s="157"/>
      <c r="S33" s="157"/>
      <c r="T33" s="157"/>
    </row>
    <row r="34" spans="1:20" x14ac:dyDescent="0.25">
      <c r="A34" s="155"/>
      <c r="B34" s="126"/>
      <c r="C34" s="126"/>
      <c r="D34" s="158"/>
      <c r="E34" s="158"/>
      <c r="F34" s="158"/>
      <c r="G34" s="158"/>
      <c r="H34" s="158"/>
      <c r="I34" s="158"/>
      <c r="J34" s="158"/>
      <c r="K34" s="158"/>
      <c r="L34" s="158"/>
      <c r="M34" s="156"/>
      <c r="N34" s="157"/>
      <c r="O34" s="157"/>
      <c r="P34" s="157"/>
      <c r="Q34" s="156"/>
      <c r="R34" s="157"/>
      <c r="S34" s="157"/>
      <c r="T34" s="157"/>
    </row>
    <row r="35" spans="1:20" x14ac:dyDescent="0.25">
      <c r="A35" s="155"/>
      <c r="B35" s="126" t="s">
        <v>214</v>
      </c>
      <c r="C35" s="158"/>
      <c r="D35" s="126"/>
      <c r="E35" s="158"/>
      <c r="F35" s="126"/>
      <c r="G35" s="126"/>
      <c r="H35" s="126"/>
      <c r="I35" s="158"/>
      <c r="J35" s="126" t="s">
        <v>215</v>
      </c>
      <c r="K35" s="126"/>
      <c r="L35" s="126"/>
      <c r="M35" s="156"/>
      <c r="N35" s="157"/>
      <c r="O35" s="157"/>
      <c r="P35" s="157"/>
      <c r="Q35" s="156"/>
      <c r="R35" s="157"/>
      <c r="S35" s="157"/>
      <c r="T35" s="157"/>
    </row>
    <row r="36" spans="1:20" x14ac:dyDescent="0.25">
      <c r="A36" s="124"/>
      <c r="B36" s="126"/>
      <c r="C36" s="126"/>
      <c r="D36" s="158"/>
      <c r="E36" s="126"/>
      <c r="F36" s="126"/>
      <c r="G36" s="126"/>
      <c r="H36" s="158"/>
      <c r="I36" s="126"/>
      <c r="J36" s="126"/>
      <c r="K36" s="126"/>
      <c r="L36" s="126"/>
      <c r="M36" s="126"/>
      <c r="N36" s="124"/>
      <c r="O36" s="124"/>
      <c r="P36" s="124"/>
      <c r="Q36" s="124"/>
      <c r="R36" s="124"/>
      <c r="S36" s="124" t="s">
        <v>216</v>
      </c>
      <c r="T36" s="124"/>
    </row>
    <row r="37" spans="1:20" x14ac:dyDescent="0.25">
      <c r="B37" s="126" t="s">
        <v>217</v>
      </c>
      <c r="C37" s="126"/>
      <c r="D37" s="126"/>
      <c r="E37" s="126"/>
      <c r="F37" s="126"/>
      <c r="G37" s="126"/>
      <c r="H37" s="126"/>
      <c r="I37" s="126"/>
      <c r="J37" s="126" t="s">
        <v>218</v>
      </c>
      <c r="K37" s="126"/>
      <c r="L37" s="126"/>
    </row>
    <row r="38" spans="1:20" x14ac:dyDescent="0.25">
      <c r="B38" s="160"/>
      <c r="C38" s="160"/>
      <c r="D38" s="160"/>
      <c r="E38" s="160"/>
      <c r="F38" s="160"/>
      <c r="G38" s="160"/>
      <c r="H38" s="160"/>
      <c r="I38" s="160"/>
      <c r="J38" s="160"/>
      <c r="K38" s="160"/>
      <c r="L38" s="160"/>
    </row>
  </sheetData>
  <mergeCells count="17">
    <mergeCell ref="B24:C24"/>
    <mergeCell ref="L1:T1"/>
    <mergeCell ref="L2:T2"/>
    <mergeCell ref="K3:T3"/>
    <mergeCell ref="A4:T4"/>
    <mergeCell ref="A5:T5"/>
    <mergeCell ref="B13:C13"/>
    <mergeCell ref="B17:C17"/>
    <mergeCell ref="B18:C18"/>
    <mergeCell ref="B20:C20"/>
    <mergeCell ref="B22:C22"/>
    <mergeCell ref="B23:C23"/>
    <mergeCell ref="B26:C26"/>
    <mergeCell ref="B27:T27"/>
    <mergeCell ref="B28:C28"/>
    <mergeCell ref="B29:C29"/>
    <mergeCell ref="B30:C3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расходы кенешке</vt:lpstr>
      <vt:lpstr>остаток 01.01.2025.г.</vt:lpstr>
      <vt:lpstr>Лист1</vt:lpstr>
      <vt:lpstr>'остаток 01.01.2025.г.'!Область_печати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revision>5</cp:revision>
  <cp:lastPrinted>2025-04-05T08:29:42Z</cp:lastPrinted>
  <dcterms:created xsi:type="dcterms:W3CDTF">2006-09-28T05:33:49Z</dcterms:created>
  <dcterms:modified xsi:type="dcterms:W3CDTF">2025-04-05T08:30:09Z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